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60" yWindow="0" windowWidth="14448" windowHeight="12708" activeTab="0"/>
  </bookViews>
  <sheets>
    <sheet name="UGR" sheetId="1" r:id="rId1"/>
  </sheets>
  <definedNames>
    <definedName name="_xlnm.Print_Area" localSheetId="0">'UGR'!$A$1:$L$36</definedName>
  </definedNames>
  <calcPr fullCalcOnLoad="1"/>
</workbook>
</file>

<file path=xl/sharedStrings.xml><?xml version="1.0" encoding="utf-8"?>
<sst xmlns="http://schemas.openxmlformats.org/spreadsheetml/2006/main" count="195" uniqueCount="125">
  <si>
    <t>S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</si>
  <si>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</si>
  <si>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superficie libera</t>
  </si>
  <si>
    <t>Q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</si>
  <si>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/h]</t>
    </r>
  </si>
  <si>
    <t>portata aria immessa</t>
  </si>
  <si>
    <r>
      <t>D</t>
    </r>
    <r>
      <rPr>
        <b/>
        <sz val="10"/>
        <rFont val="Arial"/>
        <family val="2"/>
      </rPr>
      <t>T</t>
    </r>
  </si>
  <si>
    <t>[°C]</t>
  </si>
  <si>
    <t>salto termico</t>
  </si>
  <si>
    <t>H</t>
  </si>
  <si>
    <t>[m]</t>
  </si>
  <si>
    <t>altezza di installazione</t>
  </si>
  <si>
    <t>D</t>
  </si>
  <si>
    <t>Coefficienti</t>
  </si>
  <si>
    <r>
      <t>v</t>
    </r>
    <r>
      <rPr>
        <b/>
        <vertAlign val="subscript"/>
        <sz val="10"/>
        <rFont val="Arial"/>
        <family val="2"/>
      </rPr>
      <t>K</t>
    </r>
  </si>
  <si>
    <t>[m/s]</t>
  </si>
  <si>
    <t>velocità frontale</t>
  </si>
  <si>
    <r>
      <t>D</t>
    </r>
    <r>
      <rPr>
        <b/>
        <sz val="10"/>
        <rFont val="Arial"/>
        <family val="2"/>
      </rPr>
      <t>p</t>
    </r>
  </si>
  <si>
    <t>[Pa]</t>
  </si>
  <si>
    <t>perdite di carico</t>
  </si>
  <si>
    <t>ver.</t>
  </si>
  <si>
    <t>NR</t>
  </si>
  <si>
    <t xml:space="preserve"> indice di rumorosità</t>
  </si>
  <si>
    <r>
      <t>v</t>
    </r>
    <r>
      <rPr>
        <b/>
        <vertAlign val="subscript"/>
        <sz val="10"/>
        <rFont val="Arial"/>
        <family val="2"/>
      </rPr>
      <t>1,8</t>
    </r>
  </si>
  <si>
    <t>velocità terminale a 1,8 m da terra</t>
  </si>
  <si>
    <r>
      <t>y</t>
    </r>
    <r>
      <rPr>
        <b/>
        <vertAlign val="subscript"/>
        <sz val="10"/>
        <rFont val="Arial"/>
        <family val="2"/>
      </rPr>
      <t>MAX</t>
    </r>
  </si>
  <si>
    <t>profondità massima in riscaldamento</t>
  </si>
  <si>
    <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/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0</t>
    </r>
  </si>
  <si>
    <t>i</t>
  </si>
  <si>
    <t>rapporto di temperatura</t>
  </si>
  <si>
    <r>
      <t>rapporto di induzione (=Q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(Q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</si>
  <si>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UGR (Diffusori ad ugello orientabile)</t>
  </si>
  <si>
    <t>ØN</t>
  </si>
  <si>
    <t>diametro nominale</t>
  </si>
  <si>
    <t>a</t>
  </si>
  <si>
    <t>[°]</t>
  </si>
  <si>
    <t>angolo di inclinazione</t>
  </si>
  <si>
    <t>+5</t>
  </si>
  <si>
    <t>+10</t>
  </si>
  <si>
    <t>k1</t>
  </si>
  <si>
    <t>k3</t>
  </si>
  <si>
    <t>Raffreddamento</t>
  </si>
  <si>
    <t>Diffusione isoterma</t>
  </si>
  <si>
    <t>Riscaldamento</t>
  </si>
  <si>
    <t>a1</t>
  </si>
  <si>
    <t>b1</t>
  </si>
  <si>
    <t>c1</t>
  </si>
  <si>
    <t>Serranda</t>
  </si>
  <si>
    <t>Senza</t>
  </si>
  <si>
    <t>Con</t>
  </si>
  <si>
    <t>rete</t>
  </si>
  <si>
    <t>cost1</t>
  </si>
  <si>
    <t>cost2</t>
  </si>
  <si>
    <t>-20</t>
  </si>
  <si>
    <t>-15</t>
  </si>
  <si>
    <t>+15</t>
  </si>
  <si>
    <t>+20</t>
  </si>
  <si>
    <t>Installazione</t>
  </si>
  <si>
    <t>orizz.</t>
  </si>
  <si>
    <t>vertic.</t>
  </si>
  <si>
    <t>A</t>
  </si>
  <si>
    <t>1/2 interasse ugelli o distanza parete</t>
  </si>
  <si>
    <t>L</t>
  </si>
  <si>
    <t>a3</t>
  </si>
  <si>
    <t>n3</t>
  </si>
  <si>
    <t>k</t>
  </si>
  <si>
    <r>
      <t>y</t>
    </r>
    <r>
      <rPr>
        <b/>
        <vertAlign val="subscript"/>
        <sz val="10"/>
        <rFont val="Arial"/>
        <family val="2"/>
      </rPr>
      <t>F</t>
    </r>
  </si>
  <si>
    <r>
      <t>C</t>
    </r>
    <r>
      <rPr>
        <b/>
        <vertAlign val="subscript"/>
        <sz val="10"/>
        <rFont val="Arial"/>
        <family val="2"/>
      </rPr>
      <t>F</t>
    </r>
  </si>
  <si>
    <r>
      <t>v</t>
    </r>
    <r>
      <rPr>
        <b/>
        <vertAlign val="subscript"/>
        <sz val="10"/>
        <rFont val="Arial"/>
        <family val="2"/>
      </rPr>
      <t>L</t>
    </r>
  </si>
  <si>
    <t>n1</t>
  </si>
  <si>
    <t>n2</t>
  </si>
  <si>
    <t>arif</t>
  </si>
  <si>
    <t>Lrif</t>
  </si>
  <si>
    <r>
      <t>v</t>
    </r>
    <r>
      <rPr>
        <b/>
        <vertAlign val="subscript"/>
        <sz val="10"/>
        <rFont val="Arial"/>
        <family val="2"/>
      </rPr>
      <t>C</t>
    </r>
  </si>
  <si>
    <t>n medio</t>
  </si>
  <si>
    <t>p</t>
  </si>
  <si>
    <t>q</t>
  </si>
  <si>
    <t>m</t>
  </si>
  <si>
    <r>
      <t>x</t>
    </r>
    <r>
      <rPr>
        <b/>
        <vertAlign val="subscript"/>
        <sz val="10"/>
        <rFont val="Arial"/>
        <family val="2"/>
      </rPr>
      <t>0</t>
    </r>
  </si>
  <si>
    <r>
      <t>y</t>
    </r>
    <r>
      <rPr>
        <b/>
        <vertAlign val="subscript"/>
        <sz val="10"/>
        <rFont val="Arial"/>
        <family val="2"/>
      </rPr>
      <t>0</t>
    </r>
  </si>
  <si>
    <t>R</t>
  </si>
  <si>
    <t>j</t>
  </si>
  <si>
    <r>
      <t>x'</t>
    </r>
    <r>
      <rPr>
        <b/>
        <vertAlign val="subscript"/>
        <sz val="10"/>
        <rFont val="Arial"/>
        <family val="2"/>
      </rPr>
      <t>0</t>
    </r>
  </si>
  <si>
    <r>
      <t>y'</t>
    </r>
    <r>
      <rPr>
        <b/>
        <vertAlign val="subscript"/>
        <sz val="10"/>
        <rFont val="Arial"/>
        <family val="2"/>
      </rPr>
      <t>0</t>
    </r>
  </si>
  <si>
    <t>xs</t>
  </si>
  <si>
    <t>ys</t>
  </si>
  <si>
    <r>
      <t>D</t>
    </r>
    <r>
      <rPr>
        <b/>
        <sz val="10"/>
        <rFont val="Arial"/>
        <family val="2"/>
      </rPr>
      <t>s</t>
    </r>
  </si>
  <si>
    <t>C</t>
  </si>
  <si>
    <t>distanza urto dalla zona occupata</t>
  </si>
  <si>
    <t>Raffredd. - isot.</t>
  </si>
  <si>
    <t>teorico</t>
  </si>
  <si>
    <t>reale</t>
  </si>
  <si>
    <r>
      <t>x</t>
    </r>
    <r>
      <rPr>
        <b/>
        <vertAlign val="subscript"/>
        <sz val="10"/>
        <rFont val="Arial"/>
        <family val="2"/>
      </rPr>
      <t>CRIT</t>
    </r>
  </si>
  <si>
    <r>
      <t>x</t>
    </r>
    <r>
      <rPr>
        <b/>
        <vertAlign val="subscript"/>
        <sz val="10"/>
        <rFont val="Arial"/>
        <family val="2"/>
      </rPr>
      <t>1,8</t>
    </r>
  </si>
  <si>
    <r>
      <t>y</t>
    </r>
    <r>
      <rPr>
        <b/>
        <vertAlign val="subscript"/>
        <sz val="10"/>
        <rFont val="Arial"/>
        <family val="2"/>
      </rPr>
      <t>1,8</t>
    </r>
  </si>
  <si>
    <t>raffredd</t>
  </si>
  <si>
    <t>isot</t>
  </si>
  <si>
    <t>q2</t>
  </si>
  <si>
    <r>
      <t>v</t>
    </r>
    <r>
      <rPr>
        <b/>
        <vertAlign val="subscript"/>
        <sz val="10"/>
        <rFont val="Arial"/>
        <family val="2"/>
      </rPr>
      <t>CRIT</t>
    </r>
  </si>
  <si>
    <t>x</t>
  </si>
  <si>
    <t>y</t>
  </si>
  <si>
    <t>x'</t>
  </si>
  <si>
    <t>y'</t>
  </si>
  <si>
    <t>Y1,8</t>
  </si>
  <si>
    <t>caduta</t>
  </si>
  <si>
    <t>punto critico</t>
  </si>
  <si>
    <r>
      <t>y</t>
    </r>
    <r>
      <rPr>
        <vertAlign val="subscript"/>
        <sz val="10"/>
        <color indexed="10"/>
        <rFont val="Arial"/>
        <family val="2"/>
      </rPr>
      <t>MAX</t>
    </r>
  </si>
  <si>
    <t>b</t>
  </si>
  <si>
    <t>y crit</t>
  </si>
  <si>
    <t>kd</t>
  </si>
  <si>
    <t>ki</t>
  </si>
  <si>
    <t>induzione</t>
  </si>
  <si>
    <t>Lcrit</t>
  </si>
  <si>
    <t>MIN</t>
  </si>
  <si>
    <t>UGELLO</t>
  </si>
  <si>
    <t>new punto critico</t>
  </si>
  <si>
    <r>
      <t>x</t>
    </r>
    <r>
      <rPr>
        <b/>
        <vertAlign val="subscript"/>
        <sz val="10"/>
        <rFont val="Arial"/>
        <family val="2"/>
      </rPr>
      <t>CR</t>
    </r>
  </si>
  <si>
    <t>distanza punto critico</t>
  </si>
  <si>
    <r>
      <t>v</t>
    </r>
    <r>
      <rPr>
        <b/>
        <vertAlign val="subscript"/>
        <sz val="10"/>
        <rFont val="Arial"/>
        <family val="2"/>
      </rPr>
      <t>CR</t>
    </r>
  </si>
  <si>
    <t>velocità terminale al punto critico</t>
  </si>
  <si>
    <t>con installazione con asse verticale</t>
  </si>
  <si>
    <t>par H</t>
  </si>
  <si>
    <t>cod.</t>
  </si>
  <si>
    <t>1-2.0-02.00-I-12/14</t>
  </si>
  <si>
    <t>2.0.0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</si>
</sst>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"/>
    <numFmt numFmtId="171" formatCode="0.0000000"/>
    <numFmt numFmtId="172" formatCode="0.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165" fontId="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5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1" fontId="54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Traiettoria lancio (installazione con asse orizzontale)</a:t>
            </a:r>
          </a:p>
        </c:rich>
      </c:tx>
      <c:layout>
        <c:manualLayout>
          <c:xMode val="factor"/>
          <c:yMode val="factor"/>
          <c:x val="0.0167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4275"/>
        </c:manualLayout>
      </c:layout>
      <c:scatterChart>
        <c:scatterStyle val="smoothMarker"/>
        <c:varyColors val="0"/>
        <c:ser>
          <c:idx val="0"/>
          <c:order val="0"/>
          <c:tx>
            <c:v>lancio prima dell'urto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UGR!$V$51:$V$81</c:f>
              <c:numCache/>
            </c:numRef>
          </c:xVal>
          <c:yVal>
            <c:numRef>
              <c:f>UGR!$W$51:$W$81</c:f>
              <c:numCache/>
            </c:numRef>
          </c:yVal>
          <c:smooth val="1"/>
        </c:ser>
        <c:ser>
          <c:idx val="1"/>
          <c:order val="1"/>
          <c:tx>
            <c:v>limite zona occupata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UGR!$R$51:$R$81</c:f>
              <c:numCache/>
            </c:numRef>
          </c:xVal>
          <c:yVal>
            <c:numRef>
              <c:f>UGR!$X$51:$X$81</c:f>
              <c:numCache/>
            </c:numRef>
          </c:yVal>
          <c:smooth val="1"/>
        </c:ser>
        <c:ser>
          <c:idx val="2"/>
          <c:order val="2"/>
          <c:tx>
            <c:v>distanza urto 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UGR!$Z$52:$Z$53</c:f>
              <c:numCache/>
            </c:numRef>
          </c:xVal>
          <c:yVal>
            <c:numRef>
              <c:f>UGR!$AA$52:$AA$53</c:f>
              <c:numCache/>
            </c:numRef>
          </c:yVal>
          <c:smooth val="1"/>
        </c:ser>
        <c:ser>
          <c:idx val="3"/>
          <c:order val="3"/>
          <c:tx>
            <c:v>caduta/risalita dopo l'urto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UGR!$Z$57:$Z$58</c:f>
              <c:numCache/>
            </c:numRef>
          </c:xVal>
          <c:yVal>
            <c:numRef>
              <c:f>UGR!$AA$57:$AA$58</c:f>
              <c:numCache/>
            </c:numRef>
          </c:yVal>
          <c:smooth val="1"/>
        </c:ser>
        <c:ser>
          <c:idx val="6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UGR!$Z$67</c:f>
              <c:numCache/>
            </c:numRef>
          </c:xVal>
          <c:yVal>
            <c:numRef>
              <c:f>UGR!$AA$67</c:f>
              <c:numCache/>
            </c:numRef>
          </c:yVal>
          <c:smooth val="1"/>
        </c:ser>
        <c:ser>
          <c:idx val="4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UGR!$Z$71</c:f>
              <c:numCache/>
            </c:numRef>
          </c:xVal>
          <c:yVal>
            <c:numRef>
              <c:f>UGR!$AA$71</c:f>
              <c:numCache/>
            </c:numRef>
          </c:yVal>
          <c:smooth val="1"/>
        </c:ser>
        <c:axId val="64440766"/>
        <c:axId val="43095983"/>
      </c:scatterChart>
      <c:valAx>
        <c:axId val="6444076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0.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5983"/>
        <c:crosses val="autoZero"/>
        <c:crossBetween val="midCat"/>
        <c:dispUnits/>
        <c:majorUnit val="2"/>
      </c:valAx>
      <c:valAx>
        <c:axId val="4309598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0.019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0.72175</cdr:y>
    </cdr:from>
    <cdr:to>
      <cdr:x>0.30125</cdr:x>
      <cdr:y>0.7915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1352550"/>
          <a:ext cx="71437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ZONA OCCUPATA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36</xdr:row>
      <xdr:rowOff>142875</xdr:rowOff>
    </xdr:from>
    <xdr:to>
      <xdr:col>27</xdr:col>
      <xdr:colOff>28575</xdr:colOff>
      <xdr:row>84</xdr:row>
      <xdr:rowOff>133350</xdr:rowOff>
    </xdr:to>
    <xdr:sp>
      <xdr:nvSpPr>
        <xdr:cNvPr id="1" name="Rectangle 208"/>
        <xdr:cNvSpPr>
          <a:spLocks/>
        </xdr:cNvSpPr>
      </xdr:nvSpPr>
      <xdr:spPr>
        <a:xfrm>
          <a:off x="6467475" y="7686675"/>
          <a:ext cx="13658850" cy="834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22</xdr:row>
      <xdr:rowOff>0</xdr:rowOff>
    </xdr:from>
    <xdr:to>
      <xdr:col>5</xdr:col>
      <xdr:colOff>1143000</xdr:colOff>
      <xdr:row>23</xdr:row>
      <xdr:rowOff>0</xdr:rowOff>
    </xdr:to>
    <xdr:sp>
      <xdr:nvSpPr>
        <xdr:cNvPr id="2" name="AutoShape 99"/>
        <xdr:cNvSpPr>
          <a:spLocks/>
        </xdr:cNvSpPr>
      </xdr:nvSpPr>
      <xdr:spPr>
        <a:xfrm>
          <a:off x="4352925" y="4076700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22</xdr:row>
      <xdr:rowOff>114300</xdr:rowOff>
    </xdr:from>
    <xdr:to>
      <xdr:col>6</xdr:col>
      <xdr:colOff>0</xdr:colOff>
      <xdr:row>35</xdr:row>
      <xdr:rowOff>104775</xdr:rowOff>
    </xdr:to>
    <xdr:sp>
      <xdr:nvSpPr>
        <xdr:cNvPr id="3" name="Rectangle 27"/>
        <xdr:cNvSpPr>
          <a:spLocks/>
        </xdr:cNvSpPr>
      </xdr:nvSpPr>
      <xdr:spPr>
        <a:xfrm>
          <a:off x="419100" y="4191000"/>
          <a:ext cx="6048375" cy="320992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3</xdr:row>
      <xdr:rowOff>114300</xdr:rowOff>
    </xdr:from>
    <xdr:to>
      <xdr:col>6</xdr:col>
      <xdr:colOff>0</xdr:colOff>
      <xdr:row>21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419100" y="857250"/>
          <a:ext cx="6048375" cy="297180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3</xdr:row>
      <xdr:rowOff>0</xdr:rowOff>
    </xdr:from>
    <xdr:to>
      <xdr:col>5</xdr:col>
      <xdr:colOff>1143000</xdr:colOff>
      <xdr:row>4</xdr:row>
      <xdr:rowOff>0</xdr:rowOff>
    </xdr:to>
    <xdr:sp>
      <xdr:nvSpPr>
        <xdr:cNvPr id="5" name="AutoShape 16"/>
        <xdr:cNvSpPr>
          <a:spLocks/>
        </xdr:cNvSpPr>
      </xdr:nvSpPr>
      <xdr:spPr>
        <a:xfrm>
          <a:off x="4352925" y="742950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9525</xdr:colOff>
      <xdr:row>4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0" y="742950"/>
          <a:ext cx="436245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Dati in ingresso:</a:t>
          </a:r>
        </a:p>
      </xdr:txBody>
    </xdr:sp>
    <xdr:clientData/>
  </xdr:twoCellAnchor>
  <xdr:twoCellAnchor editAs="absolute">
    <xdr:from>
      <xdr:col>4</xdr:col>
      <xdr:colOff>2133600</xdr:colOff>
      <xdr:row>3</xdr:row>
      <xdr:rowOff>0</xdr:rowOff>
    </xdr:from>
    <xdr:to>
      <xdr:col>5</xdr:col>
      <xdr:colOff>666750</xdr:colOff>
      <xdr:row>4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4343400" y="742950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6</xdr:col>
      <xdr:colOff>66675</xdr:colOff>
      <xdr:row>3</xdr:row>
      <xdr:rowOff>114300</xdr:rowOff>
    </xdr:from>
    <xdr:to>
      <xdr:col>11</xdr:col>
      <xdr:colOff>600075</xdr:colOff>
      <xdr:row>35</xdr:row>
      <xdr:rowOff>104775</xdr:rowOff>
    </xdr:to>
    <xdr:sp>
      <xdr:nvSpPr>
        <xdr:cNvPr id="8" name="Rectangle 18"/>
        <xdr:cNvSpPr>
          <a:spLocks/>
        </xdr:cNvSpPr>
      </xdr:nvSpPr>
      <xdr:spPr>
        <a:xfrm>
          <a:off x="6534150" y="857250"/>
          <a:ext cx="3686175" cy="654367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70"/>
        <xdr:cNvSpPr>
          <a:spLocks/>
        </xdr:cNvSpPr>
      </xdr:nvSpPr>
      <xdr:spPr>
        <a:xfrm>
          <a:off x="1019175" y="14287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71"/>
        <xdr:cNvSpPr>
          <a:spLocks/>
        </xdr:cNvSpPr>
      </xdr:nvSpPr>
      <xdr:spPr>
        <a:xfrm>
          <a:off x="1019175" y="14287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Rectangle 72"/>
        <xdr:cNvSpPr>
          <a:spLocks/>
        </xdr:cNvSpPr>
      </xdr:nvSpPr>
      <xdr:spPr>
        <a:xfrm>
          <a:off x="1019175" y="17716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52475" cy="247650"/>
    <xdr:sp>
      <xdr:nvSpPr>
        <xdr:cNvPr id="12" name="Rectangle 73"/>
        <xdr:cNvSpPr>
          <a:spLocks/>
        </xdr:cNvSpPr>
      </xdr:nvSpPr>
      <xdr:spPr>
        <a:xfrm>
          <a:off x="1019175" y="21145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3" name="Rectangle 74"/>
        <xdr:cNvSpPr>
          <a:spLocks/>
        </xdr:cNvSpPr>
      </xdr:nvSpPr>
      <xdr:spPr>
        <a:xfrm>
          <a:off x="1019175" y="24574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4" name="Rectangle 75"/>
        <xdr:cNvSpPr>
          <a:spLocks/>
        </xdr:cNvSpPr>
      </xdr:nvSpPr>
      <xdr:spPr>
        <a:xfrm>
          <a:off x="1019175" y="28003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5" name="Rectangle 91"/>
        <xdr:cNvSpPr>
          <a:spLocks/>
        </xdr:cNvSpPr>
      </xdr:nvSpPr>
      <xdr:spPr>
        <a:xfrm>
          <a:off x="1019175" y="24574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6" name="Rectangle 92"/>
        <xdr:cNvSpPr>
          <a:spLocks/>
        </xdr:cNvSpPr>
      </xdr:nvSpPr>
      <xdr:spPr>
        <a:xfrm>
          <a:off x="1019175" y="28003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17" name="Text Box 96"/>
        <xdr:cNvSpPr txBox="1">
          <a:spLocks noChangeArrowheads="1"/>
        </xdr:cNvSpPr>
      </xdr:nvSpPr>
      <xdr:spPr>
        <a:xfrm>
          <a:off x="9525" y="4076700"/>
          <a:ext cx="434340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Risultati:</a:t>
          </a:r>
        </a:p>
      </xdr:txBody>
    </xdr:sp>
    <xdr:clientData/>
  </xdr:twoCellAnchor>
  <xdr:twoCellAnchor editAs="absolute">
    <xdr:from>
      <xdr:col>4</xdr:col>
      <xdr:colOff>2133600</xdr:colOff>
      <xdr:row>22</xdr:row>
      <xdr:rowOff>0</xdr:rowOff>
    </xdr:from>
    <xdr:to>
      <xdr:col>5</xdr:col>
      <xdr:colOff>666750</xdr:colOff>
      <xdr:row>23</xdr:row>
      <xdr:rowOff>0</xdr:rowOff>
    </xdr:to>
    <xdr:sp>
      <xdr:nvSpPr>
        <xdr:cNvPr id="18" name="Text Box 98"/>
        <xdr:cNvSpPr txBox="1">
          <a:spLocks noChangeArrowheads="1"/>
        </xdr:cNvSpPr>
      </xdr:nvSpPr>
      <xdr:spPr>
        <a:xfrm>
          <a:off x="4343400" y="4076700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9" name="Rectangle 149"/>
        <xdr:cNvSpPr>
          <a:spLocks/>
        </xdr:cNvSpPr>
      </xdr:nvSpPr>
      <xdr:spPr>
        <a:xfrm>
          <a:off x="1019175" y="24574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20" name="Rectangle 150"/>
        <xdr:cNvSpPr>
          <a:spLocks/>
        </xdr:cNvSpPr>
      </xdr:nvSpPr>
      <xdr:spPr>
        <a:xfrm>
          <a:off x="1019175" y="24574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31</xdr:row>
      <xdr:rowOff>95250</xdr:rowOff>
    </xdr:from>
    <xdr:to>
      <xdr:col>8</xdr:col>
      <xdr:colOff>581025</xdr:colOff>
      <xdr:row>35</xdr:row>
      <xdr:rowOff>9525</xdr:rowOff>
    </xdr:to>
    <xdr:pic>
      <xdr:nvPicPr>
        <xdr:cNvPr id="21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400800"/>
          <a:ext cx="17049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6</xdr:col>
      <xdr:colOff>123825</xdr:colOff>
      <xdr:row>23</xdr:row>
      <xdr:rowOff>38100</xdr:rowOff>
    </xdr:from>
    <xdr:to>
      <xdr:col>11</xdr:col>
      <xdr:colOff>571500</xdr:colOff>
      <xdr:row>30</xdr:row>
      <xdr:rowOff>190500</xdr:rowOff>
    </xdr:to>
    <xdr:graphicFrame>
      <xdr:nvGraphicFramePr>
        <xdr:cNvPr id="22" name="Chart 182"/>
        <xdr:cNvGraphicFramePr/>
      </xdr:nvGraphicFramePr>
      <xdr:xfrm>
        <a:off x="6591300" y="4362450"/>
        <a:ext cx="36004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1028700</xdr:colOff>
      <xdr:row>0</xdr:row>
      <xdr:rowOff>9525</xdr:rowOff>
    </xdr:from>
    <xdr:to>
      <xdr:col>4</xdr:col>
      <xdr:colOff>1981200</xdr:colOff>
      <xdr:row>2</xdr:row>
      <xdr:rowOff>228600</xdr:rowOff>
    </xdr:to>
    <xdr:pic>
      <xdr:nvPicPr>
        <xdr:cNvPr id="23" name="Picture 185" descr="rendering UG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9525"/>
          <a:ext cx="952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504825</xdr:colOff>
      <xdr:row>31</xdr:row>
      <xdr:rowOff>152400</xdr:rowOff>
    </xdr:from>
    <xdr:to>
      <xdr:col>11</xdr:col>
      <xdr:colOff>552450</xdr:colOff>
      <xdr:row>34</xdr:row>
      <xdr:rowOff>228600</xdr:rowOff>
    </xdr:to>
    <xdr:pic>
      <xdr:nvPicPr>
        <xdr:cNvPr id="24" name="Picture 214" descr="legenda_MO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6457950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209550</xdr:colOff>
      <xdr:row>3</xdr:row>
      <xdr:rowOff>171450</xdr:rowOff>
    </xdr:from>
    <xdr:to>
      <xdr:col>11</xdr:col>
      <xdr:colOff>476250</xdr:colOff>
      <xdr:row>9</xdr:row>
      <xdr:rowOff>228600</xdr:rowOff>
    </xdr:to>
    <xdr:pic>
      <xdr:nvPicPr>
        <xdr:cNvPr id="25" name="Picture 215" descr="lanci raffred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914400"/>
          <a:ext cx="3419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209550</xdr:colOff>
      <xdr:row>9</xdr:row>
      <xdr:rowOff>219075</xdr:rowOff>
    </xdr:from>
    <xdr:to>
      <xdr:col>11</xdr:col>
      <xdr:colOff>514350</xdr:colOff>
      <xdr:row>16</xdr:row>
      <xdr:rowOff>38100</xdr:rowOff>
    </xdr:to>
    <xdr:pic>
      <xdr:nvPicPr>
        <xdr:cNvPr id="26" name="Picture 216" descr="lanci iso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1990725"/>
          <a:ext cx="3457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209550</xdr:colOff>
      <xdr:row>16</xdr:row>
      <xdr:rowOff>9525</xdr:rowOff>
    </xdr:from>
    <xdr:to>
      <xdr:col>11</xdr:col>
      <xdr:colOff>514350</xdr:colOff>
      <xdr:row>22</xdr:row>
      <xdr:rowOff>85725</xdr:rowOff>
    </xdr:to>
    <xdr:pic>
      <xdr:nvPicPr>
        <xdr:cNvPr id="27" name="Picture 217" descr="lanci riscal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057525"/>
          <a:ext cx="3457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28" name="Rectangle 219"/>
        <xdr:cNvSpPr>
          <a:spLocks/>
        </xdr:cNvSpPr>
      </xdr:nvSpPr>
      <xdr:spPr>
        <a:xfrm>
          <a:off x="1019175" y="1085850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104775</xdr:colOff>
      <xdr:row>0</xdr:row>
      <xdr:rowOff>114300</xdr:rowOff>
    </xdr:from>
    <xdr:to>
      <xdr:col>9</xdr:col>
      <xdr:colOff>47625</xdr:colOff>
      <xdr:row>2</xdr:row>
      <xdr:rowOff>219075</xdr:rowOff>
    </xdr:to>
    <xdr:pic>
      <xdr:nvPicPr>
        <xdr:cNvPr id="29" name="Immagine 30" descr="logo tv color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0" y="114300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AA85"/>
  <sheetViews>
    <sheetView showGridLines="0" showRowColHeaders="0" tabSelected="1" zoomScalePageLayoutView="0" workbookViewId="0" topLeftCell="A7">
      <selection activeCell="G38" sqref="G38"/>
    </sheetView>
  </sheetViews>
  <sheetFormatPr defaultColWidth="9.140625" defaultRowHeight="12.75"/>
  <cols>
    <col min="1" max="1" width="6.140625" style="3" customWidth="1"/>
    <col min="2" max="2" width="9.140625" style="3" customWidth="1"/>
    <col min="3" max="3" width="11.28125" style="3" customWidth="1"/>
    <col min="4" max="4" width="6.57421875" style="3" customWidth="1"/>
    <col min="5" max="5" width="32.140625" style="3" customWidth="1"/>
    <col min="6" max="6" width="31.7109375" style="3" customWidth="1"/>
    <col min="7" max="9" width="9.28125" style="3" bestFit="1" customWidth="1"/>
    <col min="10" max="10" width="9.421875" style="3" bestFit="1" customWidth="1"/>
    <col min="11" max="11" width="10.00390625" style="3" bestFit="1" customWidth="1"/>
    <col min="12" max="12" width="9.28125" style="3" bestFit="1" customWidth="1"/>
    <col min="13" max="14" width="9.140625" style="3" customWidth="1"/>
    <col min="15" max="15" width="9.28125" style="3" bestFit="1" customWidth="1"/>
    <col min="16" max="16" width="9.140625" style="3" customWidth="1"/>
    <col min="17" max="17" width="16.8515625" style="3" bestFit="1" customWidth="1"/>
    <col min="18" max="19" width="9.140625" style="3" customWidth="1"/>
    <col min="20" max="20" width="10.00390625" style="3" bestFit="1" customWidth="1"/>
    <col min="21" max="23" width="9.140625" style="3" customWidth="1"/>
    <col min="24" max="25" width="9.7109375" style="3" customWidth="1"/>
    <col min="26" max="26" width="9.140625" style="3" customWidth="1"/>
    <col min="27" max="27" width="10.00390625" style="3" bestFit="1" customWidth="1"/>
    <col min="28" max="16384" width="9.140625" style="3" customWidth="1"/>
  </cols>
  <sheetData>
    <row r="1" ht="19.5" customHeight="1"/>
    <row r="2" spans="2:12" ht="19.5" customHeight="1">
      <c r="B2" s="18" t="s">
        <v>31</v>
      </c>
      <c r="J2" s="22" t="s">
        <v>122</v>
      </c>
      <c r="K2" s="76" t="s">
        <v>123</v>
      </c>
      <c r="L2" s="77"/>
    </row>
    <row r="3" spans="10:12" ht="19.5" customHeight="1">
      <c r="J3" s="22" t="s">
        <v>20</v>
      </c>
      <c r="K3" s="73" t="s">
        <v>124</v>
      </c>
      <c r="L3" s="6"/>
    </row>
    <row r="4" ht="19.5" customHeight="1"/>
    <row r="5" ht="7.5" customHeight="1"/>
    <row r="6" spans="2:6" ht="19.5" customHeight="1">
      <c r="B6" s="4" t="s">
        <v>32</v>
      </c>
      <c r="C6" s="3">
        <f>LOOKUP(G38,G39:G44,H39:H44)</f>
        <v>230</v>
      </c>
      <c r="E6" s="5" t="s">
        <v>33</v>
      </c>
      <c r="F6" s="6">
        <f>IF(G38=G39,"Selezionare diametro","")</f>
      </c>
    </row>
    <row r="7" ht="7.5" customHeight="1">
      <c r="B7" s="4"/>
    </row>
    <row r="8" spans="2:6" ht="19.5" customHeight="1">
      <c r="B8" s="8" t="s">
        <v>34</v>
      </c>
      <c r="C8" s="35">
        <f>H47-30</f>
        <v>0</v>
      </c>
      <c r="D8" s="5" t="s">
        <v>35</v>
      </c>
      <c r="E8" s="6" t="s">
        <v>36</v>
      </c>
      <c r="F8" s="27">
        <f>IF((C8&lt;0)*(Q38&lt;Q43),"In raffreddam. deve essere &gt;=0",IF((C8&gt;0)*(Q38=Q43),"In isoterma deve essere &lt;=0",(IF((C8&gt;0)*(Q38&gt;Q43),"In rascaldam. deve essere &lt;=0",IF(C8=30,"Max 30°",IF(C8=-30,"Min 30°",""))))))</f>
      </c>
    </row>
    <row r="9" ht="7.5" customHeight="1"/>
    <row r="10" spans="2:6" ht="19.5" customHeight="1">
      <c r="B10" s="7" t="s">
        <v>3</v>
      </c>
      <c r="C10" s="28">
        <v>1015</v>
      </c>
      <c r="D10" s="5" t="s">
        <v>4</v>
      </c>
      <c r="E10" s="5" t="s">
        <v>5</v>
      </c>
      <c r="F10" s="24">
        <f>IF(C10="","Selezionare la portata","")</f>
      </c>
    </row>
    <row r="11" ht="7.5" customHeight="1"/>
    <row r="12" spans="2:8" ht="19.5" customHeight="1">
      <c r="B12" s="8" t="s">
        <v>6</v>
      </c>
      <c r="D12" s="5" t="s">
        <v>7</v>
      </c>
      <c r="E12" s="5" t="s">
        <v>8</v>
      </c>
      <c r="F12" s="9" t="str">
        <f>IF(J53=J55,IF(Q38&lt;=Q43,"Consentito solo riscaldamento!",LOOKUP(Q38,Q39:Q47,S39:S47)),LOOKUP(Q38,Q39:Q47,S39:S47))</f>
        <v>Raffreddamento</v>
      </c>
      <c r="H12" s="6"/>
    </row>
    <row r="13" spans="2:5" ht="7.5" customHeight="1">
      <c r="B13" s="8"/>
      <c r="C13" s="10"/>
      <c r="D13" s="5"/>
      <c r="E13" s="5"/>
    </row>
    <row r="14" spans="2:9" ht="19.5" customHeight="1">
      <c r="B14" s="7" t="s">
        <v>9</v>
      </c>
      <c r="C14" s="11">
        <f>H81</f>
        <v>9</v>
      </c>
      <c r="D14" s="5" t="s">
        <v>10</v>
      </c>
      <c r="E14" s="5" t="s">
        <v>11</v>
      </c>
      <c r="F14" s="24">
        <f>IF(C14="","Selezionare altezza installazione","")</f>
      </c>
      <c r="I14" s="25"/>
    </row>
    <row r="15" spans="2:5" ht="7.5" customHeight="1">
      <c r="B15" s="7"/>
      <c r="C15" s="11"/>
      <c r="D15" s="5"/>
      <c r="E15" s="5"/>
    </row>
    <row r="16" spans="2:6" ht="19.5" customHeight="1">
      <c r="B16" s="7" t="s">
        <v>60</v>
      </c>
      <c r="C16" s="52">
        <v>26</v>
      </c>
      <c r="D16" s="5" t="s">
        <v>10</v>
      </c>
      <c r="E16" s="5" t="s">
        <v>61</v>
      </c>
      <c r="F16" s="24">
        <f>IF(C16="","Selezionare distanza di lancio","")</f>
      </c>
    </row>
    <row r="17" spans="2:5" ht="7.5" customHeight="1">
      <c r="B17" s="8"/>
      <c r="C17" s="10"/>
      <c r="D17" s="5"/>
      <c r="E17" s="5"/>
    </row>
    <row r="18" ht="19.5" customHeight="1">
      <c r="F18" s="6"/>
    </row>
    <row r="19" ht="7.5" customHeight="1">
      <c r="F19" s="6"/>
    </row>
    <row r="20" ht="19.5" customHeight="1">
      <c r="F20" s="6"/>
    </row>
    <row r="21" ht="7.5" customHeight="1"/>
    <row r="22" ht="19.5" customHeight="1"/>
    <row r="23" ht="19.5" customHeight="1"/>
    <row r="24" spans="2:5" ht="19.5" customHeight="1">
      <c r="B24" s="12" t="s">
        <v>0</v>
      </c>
      <c r="C24" s="13">
        <f>IF(G38=G39,"",IF(C10="","",LOOKUP(G38,G40:G44,I40:I44)))</f>
        <v>0.04154756284372501</v>
      </c>
      <c r="D24" s="9" t="s">
        <v>1</v>
      </c>
      <c r="E24" s="9" t="s">
        <v>2</v>
      </c>
    </row>
    <row r="25" spans="2:5" ht="19.5" customHeight="1">
      <c r="B25" s="1" t="s">
        <v>14</v>
      </c>
      <c r="C25" s="19">
        <f>IF(C10="","",IF(C24="","",IF(G38=G39,"",C10/C24/3600)))</f>
        <v>6.786064576276991</v>
      </c>
      <c r="D25" s="2" t="s">
        <v>15</v>
      </c>
      <c r="E25" s="2" t="s">
        <v>16</v>
      </c>
    </row>
    <row r="26" spans="2:5" ht="19.5" customHeight="1">
      <c r="B26" s="20" t="s">
        <v>17</v>
      </c>
      <c r="C26" s="21">
        <f>IF(G38=G39,"",IF(C24="","",H53*H49*(C10/(H48*C24*3600))^2))</f>
        <v>27.630403460040856</v>
      </c>
      <c r="D26" s="2" t="s">
        <v>18</v>
      </c>
      <c r="E26" s="2" t="s">
        <v>19</v>
      </c>
    </row>
    <row r="27" spans="2:6" ht="19.5" customHeight="1">
      <c r="B27" s="1" t="s">
        <v>21</v>
      </c>
      <c r="C27" s="72">
        <f>IF(G38=G39,"",IF(C10=0,"",IF(C10="","",IF(((C10-$M$84)/$L$84)&lt;15,"&lt;15",(C10-$M$84)/$L$84))))</f>
        <v>27.596670712675568</v>
      </c>
      <c r="D27" s="2"/>
      <c r="E27" s="2" t="s">
        <v>22</v>
      </c>
      <c r="F27" s="23">
        <f>IF(C27="","",IF(C27="&lt;15","&lt;15",IF(C27&gt;=40.5,"&gt;40!","")))</f>
      </c>
    </row>
    <row r="28" spans="2:6" ht="19.5" customHeight="1">
      <c r="B28" s="56" t="s">
        <v>87</v>
      </c>
      <c r="C28" s="25">
        <f>IF(G38=G39,"",IF(J53=J55,"",IF(Q38&gt;Q43,"",IF(Q38=Q43,IF(C8&gt;0,"",IF((C14-1.8-C16*TAN(-C8*PI()/180))&gt;0,C14-1.8-C16*TAN(-C8*PI()/180),0)),IF(C8&lt;0,"",K61)))))</f>
        <v>1.9</v>
      </c>
      <c r="D28" s="2" t="s">
        <v>10</v>
      </c>
      <c r="E28" s="2" t="s">
        <v>88</v>
      </c>
      <c r="F28" s="4">
        <f>IF(C28=0,"Caduta del lancio prima dell'urto!","")</f>
      </c>
    </row>
    <row r="29" spans="2:5" ht="19.5" customHeight="1">
      <c r="B29" s="55" t="s">
        <v>86</v>
      </c>
      <c r="C29" s="53">
        <f>IF(J53=J55,"",IF(G38=G39,"",IF(C10="","",IF(C10=0,"",IF(Q38&lt;=Q43,"",IF(C8&gt;=0,"",$C$14-$O$69-1.8))))))</f>
      </c>
      <c r="D29" s="2" t="s">
        <v>10</v>
      </c>
      <c r="E29" s="2"/>
    </row>
    <row r="30" spans="2:6" ht="19.5" customHeight="1">
      <c r="B30" s="1" t="s">
        <v>116</v>
      </c>
      <c r="C30" s="19">
        <f>IF(G38=G39,"",IF(C10="","",IF(C10=0,"",IF(J53=J55,"",IF(Z71=0,"",Z71)))))</f>
        <v>26</v>
      </c>
      <c r="D30" s="2" t="s">
        <v>10</v>
      </c>
      <c r="E30" s="2" t="s">
        <v>117</v>
      </c>
      <c r="F30" s="23"/>
    </row>
    <row r="31" spans="2:6" ht="19.5" customHeight="1">
      <c r="B31" s="1" t="s">
        <v>118</v>
      </c>
      <c r="C31" s="19">
        <f>IF(G38=G39,"",IF(C10="","",IF(J53=J55,"",IF(Q38&lt;=Q43,IF(K61&gt;0,K75,IF(Q38=Q43,K74,K73)),IF(C29&gt;0.5,"&lt;0,2",O75)))))</f>
        <v>0.08494072269552208</v>
      </c>
      <c r="D31" s="2" t="s">
        <v>15</v>
      </c>
      <c r="E31" s="2" t="s">
        <v>119</v>
      </c>
      <c r="F31" s="23"/>
    </row>
    <row r="32" spans="2:6" ht="19.5" customHeight="1">
      <c r="B32" s="1" t="s">
        <v>25</v>
      </c>
      <c r="C32" s="26">
        <f>IF(G38=G39,"",IF(J53=J54,"",IF(Q38&lt;=Q43,"",IF((H71*((C10/3.6)*(2*C6/160)^(1/H69))^H70)&lt;C14,H71*((C10/3.6)*(2*C6/160)^(1/H69))^H70,C14))))</f>
      </c>
      <c r="D32" s="2" t="s">
        <v>10</v>
      </c>
      <c r="E32" s="2" t="s">
        <v>26</v>
      </c>
      <c r="F32" s="30" t="s">
        <v>120</v>
      </c>
    </row>
    <row r="33" spans="2:6" ht="19.5" customHeight="1">
      <c r="B33" s="1" t="s">
        <v>23</v>
      </c>
      <c r="C33" s="25">
        <f>IF(J53=J54,"",0.2*H71*((C10/3.6)*(2*C6/160)^(1/H69))^H70/(C14-1.8))</f>
      </c>
      <c r="D33" s="2" t="s">
        <v>15</v>
      </c>
      <c r="E33" s="2" t="s">
        <v>24</v>
      </c>
      <c r="F33" s="30" t="s">
        <v>120</v>
      </c>
    </row>
    <row r="34" spans="2:6" ht="19.5" customHeight="1">
      <c r="B34" s="29" t="s">
        <v>27</v>
      </c>
      <c r="C34" s="31">
        <f>IF($G$38=$G$39,"",IF($C$10="","",IF($H$78="","",$H$76/$H$78)))</f>
        <v>0.03394578313253012</v>
      </c>
      <c r="D34" s="2"/>
      <c r="E34" s="2" t="s">
        <v>29</v>
      </c>
      <c r="F34" s="30"/>
    </row>
    <row r="35" spans="2:6" ht="19.5" customHeight="1">
      <c r="B35" s="1" t="s">
        <v>28</v>
      </c>
      <c r="C35" s="32">
        <f>IF($G$38=$G$39,"",IF($C$10="","",IF($H$78="","",$H$77*$H$78)))</f>
        <v>229.08000000000004</v>
      </c>
      <c r="D35" s="2"/>
      <c r="E35" s="2" t="s">
        <v>30</v>
      </c>
      <c r="F35" s="30"/>
    </row>
    <row r="36" ht="19.5" customHeight="1"/>
    <row r="37" spans="3:5" ht="13.5" thickBot="1">
      <c r="C37" s="33"/>
      <c r="E37" s="33"/>
    </row>
    <row r="38" spans="7:22" ht="13.5" thickBot="1">
      <c r="G38" s="17">
        <v>6</v>
      </c>
      <c r="H38" s="16" t="s">
        <v>32</v>
      </c>
      <c r="I38" s="41" t="s">
        <v>0</v>
      </c>
      <c r="J38" s="43" t="s">
        <v>44</v>
      </c>
      <c r="K38" s="41" t="s">
        <v>45</v>
      </c>
      <c r="L38" s="41" t="s">
        <v>46</v>
      </c>
      <c r="M38" s="41" t="s">
        <v>65</v>
      </c>
      <c r="N38" s="41" t="s">
        <v>109</v>
      </c>
      <c r="O38" s="41" t="s">
        <v>110</v>
      </c>
      <c r="Q38" s="36">
        <v>3</v>
      </c>
      <c r="R38" s="37" t="s">
        <v>6</v>
      </c>
      <c r="T38" s="41" t="s">
        <v>63</v>
      </c>
      <c r="U38" s="41" t="s">
        <v>64</v>
      </c>
      <c r="V38" s="16" t="s">
        <v>107</v>
      </c>
    </row>
    <row r="39" spans="2:22" ht="12.75">
      <c r="B39" s="1"/>
      <c r="C39" s="74"/>
      <c r="G39" s="15">
        <v>1</v>
      </c>
      <c r="H39" s="15"/>
      <c r="I39" s="15"/>
      <c r="J39" s="15"/>
      <c r="K39" s="15"/>
      <c r="L39" s="15"/>
      <c r="M39" s="15"/>
      <c r="N39" s="15"/>
      <c r="O39" s="15"/>
      <c r="Q39" s="38">
        <v>1</v>
      </c>
      <c r="R39" s="39" t="s">
        <v>53</v>
      </c>
      <c r="S39" s="42" t="s">
        <v>41</v>
      </c>
      <c r="T39" s="44">
        <v>1.4</v>
      </c>
      <c r="U39" s="44">
        <v>-0.7</v>
      </c>
      <c r="V39" s="15"/>
    </row>
    <row r="40" spans="4:22" ht="12.75">
      <c r="D40" s="25"/>
      <c r="G40" s="15">
        <v>2</v>
      </c>
      <c r="H40" s="15">
        <v>50</v>
      </c>
      <c r="I40" s="40">
        <f>+((H40/2)^2)*PI()/1000000</f>
        <v>0.001963495408493621</v>
      </c>
      <c r="J40" s="44">
        <v>-0.0019</v>
      </c>
      <c r="K40" s="44">
        <v>0.7256</v>
      </c>
      <c r="L40" s="44">
        <v>-16.477</v>
      </c>
      <c r="M40" s="44">
        <v>0.0925925926</v>
      </c>
      <c r="N40" s="44">
        <v>0.245</v>
      </c>
      <c r="O40" s="44">
        <v>1.5</v>
      </c>
      <c r="Q40" s="14">
        <v>2</v>
      </c>
      <c r="R40" s="39" t="s">
        <v>54</v>
      </c>
      <c r="S40" s="42" t="s">
        <v>41</v>
      </c>
      <c r="T40" s="44">
        <v>0.95</v>
      </c>
      <c r="U40" s="44">
        <v>-0.7</v>
      </c>
      <c r="V40" s="15"/>
    </row>
    <row r="41" spans="7:22" ht="12.75">
      <c r="G41" s="15">
        <v>3</v>
      </c>
      <c r="H41" s="15">
        <v>80</v>
      </c>
      <c r="I41" s="40">
        <f>+((H41/2)^2)*PI()/1000000</f>
        <v>0.005026548245743669</v>
      </c>
      <c r="J41" s="44">
        <v>-0.0004</v>
      </c>
      <c r="K41" s="44">
        <v>0.3155</v>
      </c>
      <c r="L41" s="44">
        <v>-16.477</v>
      </c>
      <c r="M41" s="44">
        <v>0.05555555556</v>
      </c>
      <c r="N41" s="44">
        <v>0.392</v>
      </c>
      <c r="O41" s="44">
        <v>2.4</v>
      </c>
      <c r="Q41" s="14">
        <v>3</v>
      </c>
      <c r="R41" s="39">
        <v>-10</v>
      </c>
      <c r="S41" s="42" t="s">
        <v>41</v>
      </c>
      <c r="T41" s="44">
        <v>0.676</v>
      </c>
      <c r="U41" s="44">
        <v>-0.7</v>
      </c>
      <c r="V41" s="15"/>
    </row>
    <row r="42" spans="7:22" ht="12.75">
      <c r="G42" s="15">
        <v>4</v>
      </c>
      <c r="H42" s="15">
        <v>150</v>
      </c>
      <c r="I42" s="40">
        <f>+((H42/2)^2)*PI()/1000000</f>
        <v>0.017671458676442587</v>
      </c>
      <c r="J42" s="45">
        <v>-5E-05</v>
      </c>
      <c r="K42" s="44">
        <v>0.1116</v>
      </c>
      <c r="L42" s="44">
        <v>-16.477</v>
      </c>
      <c r="M42" s="44">
        <v>0.030864197533333332</v>
      </c>
      <c r="N42" s="44">
        <v>0.735</v>
      </c>
      <c r="O42" s="44">
        <v>4.5</v>
      </c>
      <c r="Q42" s="14">
        <v>4</v>
      </c>
      <c r="R42" s="39">
        <v>-5</v>
      </c>
      <c r="S42" s="42" t="s">
        <v>41</v>
      </c>
      <c r="T42" s="44">
        <v>0.5</v>
      </c>
      <c r="U42" s="44">
        <v>-0.7</v>
      </c>
      <c r="V42" s="15"/>
    </row>
    <row r="43" spans="7:22" ht="12.75">
      <c r="G43" s="15">
        <v>5</v>
      </c>
      <c r="H43" s="15">
        <v>200</v>
      </c>
      <c r="I43" s="40">
        <f>+((H43/2)^2)*PI()/1000000</f>
        <v>0.031415926535897934</v>
      </c>
      <c r="J43" s="45">
        <v>-2E-05</v>
      </c>
      <c r="K43" s="44">
        <v>0.0756</v>
      </c>
      <c r="L43" s="44">
        <v>-16.477</v>
      </c>
      <c r="M43" s="44">
        <v>0.02314814815</v>
      </c>
      <c r="N43" s="44">
        <v>0.98</v>
      </c>
      <c r="O43" s="44">
        <v>6</v>
      </c>
      <c r="Q43" s="14">
        <v>5</v>
      </c>
      <c r="R43" s="39">
        <v>0</v>
      </c>
      <c r="S43" s="42" t="s">
        <v>42</v>
      </c>
      <c r="T43" s="44">
        <v>0.5</v>
      </c>
      <c r="U43" s="44">
        <v>-0.7</v>
      </c>
      <c r="V43" s="68"/>
    </row>
    <row r="44" spans="7:22" ht="12.75">
      <c r="G44" s="15">
        <v>6</v>
      </c>
      <c r="H44" s="15">
        <v>230</v>
      </c>
      <c r="I44" s="40">
        <f>+((H44/2)^2)*PI()/1000000</f>
        <v>0.04154756284372501</v>
      </c>
      <c r="J44" s="45">
        <v>-1E-05</v>
      </c>
      <c r="K44" s="44">
        <v>0.0615</v>
      </c>
      <c r="L44" s="44">
        <v>-16.477</v>
      </c>
      <c r="M44" s="44">
        <v>0.019841269842857143</v>
      </c>
      <c r="N44" s="44">
        <v>1.127</v>
      </c>
      <c r="O44" s="44">
        <v>6.9</v>
      </c>
      <c r="Q44" s="14">
        <v>6</v>
      </c>
      <c r="R44" s="39" t="s">
        <v>37</v>
      </c>
      <c r="S44" s="42" t="s">
        <v>43</v>
      </c>
      <c r="T44" s="44">
        <v>0.5</v>
      </c>
      <c r="U44" s="44">
        <v>-0.7</v>
      </c>
      <c r="V44" s="68">
        <f>$H$67*R44^$H$68</f>
        <v>0.3241731756295025</v>
      </c>
    </row>
    <row r="45" spans="17:22" ht="12.75">
      <c r="Q45" s="14">
        <v>7</v>
      </c>
      <c r="R45" s="39" t="s">
        <v>38</v>
      </c>
      <c r="S45" s="42" t="s">
        <v>43</v>
      </c>
      <c r="T45" s="44">
        <v>0.676</v>
      </c>
      <c r="U45" s="44">
        <v>-0.7</v>
      </c>
      <c r="V45" s="68">
        <f>$H$67*R45^$H$68</f>
        <v>0.24513300051230916</v>
      </c>
    </row>
    <row r="46" spans="7:22" ht="13.5" thickBot="1">
      <c r="G46" s="78" t="s">
        <v>13</v>
      </c>
      <c r="H46" s="78"/>
      <c r="J46" s="46" t="s">
        <v>47</v>
      </c>
      <c r="Q46" s="14">
        <v>8</v>
      </c>
      <c r="R46" s="39" t="s">
        <v>55</v>
      </c>
      <c r="S46" s="42" t="s">
        <v>43</v>
      </c>
      <c r="T46" s="44">
        <v>0.95</v>
      </c>
      <c r="U46" s="44">
        <v>-0.7</v>
      </c>
      <c r="V46" s="68">
        <f>$H$67*R46^$H$68</f>
        <v>0.20816215990652348</v>
      </c>
    </row>
    <row r="47" spans="7:22" ht="13.5" thickBot="1">
      <c r="G47" s="34" t="s">
        <v>34</v>
      </c>
      <c r="H47" s="14">
        <v>30</v>
      </c>
      <c r="J47" s="47">
        <v>1</v>
      </c>
      <c r="L47" s="16" t="s">
        <v>51</v>
      </c>
      <c r="M47" s="16" t="s">
        <v>52</v>
      </c>
      <c r="N47" s="7"/>
      <c r="O47" s="7"/>
      <c r="Q47" s="14">
        <v>9</v>
      </c>
      <c r="R47" s="39" t="s">
        <v>56</v>
      </c>
      <c r="S47" s="42" t="s">
        <v>43</v>
      </c>
      <c r="T47" s="44">
        <v>1.4</v>
      </c>
      <c r="U47" s="44">
        <v>-0.7</v>
      </c>
      <c r="V47" s="68">
        <f>$H$67*R47^$H$68</f>
        <v>0.18536446707374968</v>
      </c>
    </row>
    <row r="48" spans="7:13" ht="12.75">
      <c r="G48" s="16" t="s">
        <v>39</v>
      </c>
      <c r="H48" s="15">
        <v>1</v>
      </c>
      <c r="J48" s="48">
        <v>1</v>
      </c>
      <c r="K48" s="49" t="s">
        <v>48</v>
      </c>
      <c r="L48" s="15">
        <v>1</v>
      </c>
      <c r="M48" s="15">
        <v>0</v>
      </c>
    </row>
    <row r="49" spans="7:13" ht="12.75">
      <c r="G49" s="16" t="s">
        <v>40</v>
      </c>
      <c r="H49" s="15">
        <v>0.6</v>
      </c>
      <c r="J49" s="15">
        <v>2</v>
      </c>
      <c r="K49" s="49" t="s">
        <v>49</v>
      </c>
      <c r="L49" s="15">
        <v>1.5</v>
      </c>
      <c r="M49" s="15">
        <v>6</v>
      </c>
    </row>
    <row r="50" spans="7:27" ht="12.75">
      <c r="G50" s="43" t="s">
        <v>44</v>
      </c>
      <c r="H50" s="75">
        <f>IF($G$38=$G$39,"",LOOKUP($G$38,$G$39:$G$44,J39:J44))</f>
        <v>-1E-05</v>
      </c>
      <c r="J50" s="15">
        <v>3</v>
      </c>
      <c r="K50" s="15" t="s">
        <v>50</v>
      </c>
      <c r="L50" s="15">
        <v>1.2</v>
      </c>
      <c r="M50" s="15">
        <v>3</v>
      </c>
      <c r="R50" s="66" t="s">
        <v>99</v>
      </c>
      <c r="S50" s="66" t="s">
        <v>100</v>
      </c>
      <c r="T50" s="66" t="s">
        <v>80</v>
      </c>
      <c r="U50" s="55" t="s">
        <v>81</v>
      </c>
      <c r="V50" s="66" t="s">
        <v>101</v>
      </c>
      <c r="W50" s="66" t="s">
        <v>102</v>
      </c>
      <c r="X50" s="4" t="s">
        <v>103</v>
      </c>
      <c r="Z50" s="79" t="s">
        <v>60</v>
      </c>
      <c r="AA50" s="79"/>
    </row>
    <row r="51" spans="7:27" ht="12.75">
      <c r="G51" s="16" t="s">
        <v>45</v>
      </c>
      <c r="H51" s="75">
        <f>IF($G$38=$G$39,"",LOOKUP($G$38,$G$39:$G$44,K39:K44))</f>
        <v>0.0615</v>
      </c>
      <c r="R51" s="3">
        <v>0</v>
      </c>
      <c r="S51" s="3">
        <f aca="true" t="shared" si="0" ref="S51:S81">IF($Q$38&gt;$Q$43,IF($C$8&lt;=0,$O$58*R51^2+$C$14,""),IF($Q$38=$Q$43,IF($C$8&lt;=0,R51*TAN($C$8*PI()/180)+$C$14,""),IF($C$8&gt;=0,-$K$64*R51^2+$C$14,"")))</f>
        <v>9</v>
      </c>
      <c r="T51" s="63">
        <f aca="true" t="shared" si="1" ref="T51:T81">SQRT(R51^2+(S51-$C$14)^2)</f>
        <v>0</v>
      </c>
      <c r="U51" s="3">
        <v>0</v>
      </c>
      <c r="V51" s="63">
        <f>IF($Q$38=$Q$43,R51,T51*COS(($C$8+U51)*PI()/180))</f>
        <v>0</v>
      </c>
      <c r="W51" s="63">
        <f aca="true" t="shared" si="2" ref="W51:W81">IF($Q$38=$Q$43,IF(S51="",20,S51),T51*SIN(($C$8+U51)*PI()/180)+$C$14)</f>
        <v>9</v>
      </c>
      <c r="X51" s="3">
        <f>1.8</f>
        <v>1.8</v>
      </c>
      <c r="Z51" s="4" t="s">
        <v>99</v>
      </c>
      <c r="AA51" s="4" t="s">
        <v>100</v>
      </c>
    </row>
    <row r="52" spans="7:27" ht="13.5" thickBot="1">
      <c r="G52" s="16" t="s">
        <v>46</v>
      </c>
      <c r="H52" s="75">
        <f>IF($G$38=$G$39,"",LOOKUP($G$38,$G$39:$G$44,L39:L44))</f>
        <v>-16.477</v>
      </c>
      <c r="J52" s="50" t="s">
        <v>57</v>
      </c>
      <c r="K52" s="51"/>
      <c r="L52" s="51"/>
      <c r="R52" s="3">
        <f>IF((R51+1)&lt;$C$16,R51+1,$C$16)</f>
        <v>1</v>
      </c>
      <c r="S52" s="3">
        <f t="shared" si="0"/>
        <v>8.992162837657995</v>
      </c>
      <c r="T52" s="63">
        <f t="shared" si="1"/>
        <v>1.0000307100852328</v>
      </c>
      <c r="U52" s="63">
        <f>180/PI()*ATAN((S52-$C$14)/R52)</f>
        <v>-0.44902713245749026</v>
      </c>
      <c r="V52" s="63">
        <f aca="true" t="shared" si="3" ref="V52:V81">IF($Q$38=$Q$43,R52,IF((T52*COS(($C$8+U52)*PI()/180))&lt;$C$16,T52*COS(($C$8+U52)*PI()/180),$C$16))</f>
        <v>1</v>
      </c>
      <c r="W52" s="63">
        <f t="shared" si="2"/>
        <v>8.992162837657995</v>
      </c>
      <c r="X52" s="3">
        <f aca="true" t="shared" si="4" ref="X52:X81">1.8</f>
        <v>1.8</v>
      </c>
      <c r="Z52" s="25">
        <f>$C$16</f>
        <v>26</v>
      </c>
      <c r="AA52" s="3">
        <v>0</v>
      </c>
    </row>
    <row r="53" spans="7:27" ht="13.5" thickBot="1">
      <c r="G53" s="16" t="s">
        <v>51</v>
      </c>
      <c r="H53" s="15">
        <f>LOOKUP($J$47,$J$48:$J$50,L48:L50)</f>
        <v>1</v>
      </c>
      <c r="J53" s="47">
        <v>1</v>
      </c>
      <c r="R53" s="3">
        <f aca="true" t="shared" si="5" ref="R53:R81">IF((R52+1)&lt;$C$16,R52+1,$C$16)</f>
        <v>2</v>
      </c>
      <c r="S53" s="3">
        <f t="shared" si="0"/>
        <v>8.968651350631982</v>
      </c>
      <c r="T53" s="63">
        <f t="shared" si="1"/>
        <v>2.0002456693659405</v>
      </c>
      <c r="U53" s="63">
        <f aca="true" t="shared" si="6" ref="U53:U81">180/PI()*ATAN((S53-$C$14)/R53)</f>
        <v>-0.8979991144548353</v>
      </c>
      <c r="V53" s="63">
        <f t="shared" si="3"/>
        <v>2</v>
      </c>
      <c r="W53" s="63">
        <f t="shared" si="2"/>
        <v>8.968651350631982</v>
      </c>
      <c r="X53" s="3">
        <f t="shared" si="4"/>
        <v>1.8</v>
      </c>
      <c r="Z53" s="25">
        <f>$C$16</f>
        <v>26</v>
      </c>
      <c r="AA53" s="25">
        <v>10</v>
      </c>
    </row>
    <row r="54" spans="7:24" ht="12.75">
      <c r="G54" s="16" t="s">
        <v>52</v>
      </c>
      <c r="H54" s="15">
        <f>LOOKUP($J$47,$J$48:$J$50,M48:M50)</f>
        <v>0</v>
      </c>
      <c r="J54" s="14">
        <v>1</v>
      </c>
      <c r="K54" s="15" t="s">
        <v>58</v>
      </c>
      <c r="R54" s="3">
        <f t="shared" si="5"/>
        <v>3</v>
      </c>
      <c r="S54" s="3">
        <f t="shared" si="0"/>
        <v>8.92946553892196</v>
      </c>
      <c r="T54" s="63">
        <f t="shared" si="1"/>
        <v>3.00082907047362</v>
      </c>
      <c r="U54" s="63">
        <f t="shared" si="6"/>
        <v>-1.3468608361633545</v>
      </c>
      <c r="V54" s="63">
        <f t="shared" si="3"/>
        <v>3</v>
      </c>
      <c r="W54" s="63">
        <f t="shared" si="2"/>
        <v>8.92946553892196</v>
      </c>
      <c r="X54" s="3">
        <f t="shared" si="4"/>
        <v>1.8</v>
      </c>
    </row>
    <row r="55" spans="7:27" ht="12.75">
      <c r="G55" s="16" t="s">
        <v>65</v>
      </c>
      <c r="H55" s="15">
        <f>LOOKUP(G38,G39:G44,M39:M44)</f>
        <v>0.019841269842857143</v>
      </c>
      <c r="J55" s="14">
        <v>2</v>
      </c>
      <c r="K55" s="15" t="s">
        <v>59</v>
      </c>
      <c r="R55" s="3">
        <f t="shared" si="5"/>
        <v>4</v>
      </c>
      <c r="S55" s="3">
        <f t="shared" si="0"/>
        <v>8.87460540252793</v>
      </c>
      <c r="T55" s="63">
        <f t="shared" si="1"/>
        <v>4.001964992984719</v>
      </c>
      <c r="U55" s="63">
        <f t="shared" si="6"/>
        <v>-1.7955572689422357</v>
      </c>
      <c r="V55" s="63">
        <f t="shared" si="3"/>
        <v>4</v>
      </c>
      <c r="W55" s="63">
        <f t="shared" si="2"/>
        <v>8.87460540252793</v>
      </c>
      <c r="X55" s="3">
        <f t="shared" si="4"/>
        <v>1.8</v>
      </c>
      <c r="Z55" s="79" t="s">
        <v>104</v>
      </c>
      <c r="AA55" s="79"/>
    </row>
    <row r="56" spans="7:27" ht="12.75">
      <c r="G56" s="16" t="s">
        <v>63</v>
      </c>
      <c r="H56" s="15">
        <f>LOOKUP($Q$38,$Q$39:$Q$47,T39:T47)</f>
        <v>0.676</v>
      </c>
      <c r="R56" s="3">
        <f t="shared" si="5"/>
        <v>5</v>
      </c>
      <c r="S56" s="3">
        <f t="shared" si="0"/>
        <v>8.80407094144989</v>
      </c>
      <c r="T56" s="63">
        <f t="shared" si="1"/>
        <v>5.003837347075176</v>
      </c>
      <c r="U56" s="63">
        <f t="shared" si="6"/>
        <v>-2.2440335057458025</v>
      </c>
      <c r="V56" s="63">
        <f t="shared" si="3"/>
        <v>5</v>
      </c>
      <c r="W56" s="63">
        <f t="shared" si="2"/>
        <v>8.80407094144989</v>
      </c>
      <c r="X56" s="3">
        <f t="shared" si="4"/>
        <v>1.8</v>
      </c>
      <c r="Z56" s="4" t="s">
        <v>99</v>
      </c>
      <c r="AA56" s="4" t="s">
        <v>100</v>
      </c>
    </row>
    <row r="57" spans="7:27" ht="12.75">
      <c r="G57" s="16" t="s">
        <v>64</v>
      </c>
      <c r="H57" s="15">
        <f>LOOKUP($Q$38,$Q$39:$Q$47,U39:U47)</f>
        <v>-0.7</v>
      </c>
      <c r="J57" s="80" t="s">
        <v>89</v>
      </c>
      <c r="K57" s="80"/>
      <c r="N57" s="80" t="s">
        <v>43</v>
      </c>
      <c r="O57" s="80"/>
      <c r="R57" s="3">
        <f t="shared" si="5"/>
        <v>6</v>
      </c>
      <c r="S57" s="3">
        <f t="shared" si="0"/>
        <v>8.717862155687842</v>
      </c>
      <c r="T57" s="63">
        <f t="shared" si="1"/>
        <v>6.006629817392871</v>
      </c>
      <c r="U57" s="63">
        <f t="shared" si="6"/>
        <v>-2.6922348013072512</v>
      </c>
      <c r="V57" s="63">
        <f t="shared" si="3"/>
        <v>6</v>
      </c>
      <c r="W57" s="63">
        <f t="shared" si="2"/>
        <v>8.717862155687842</v>
      </c>
      <c r="X57" s="3">
        <f t="shared" si="4"/>
        <v>1.8</v>
      </c>
      <c r="Z57" s="25">
        <f>$C$16</f>
        <v>26</v>
      </c>
      <c r="AA57" s="3">
        <f>IF(Q38&lt;=Q43,1.8,W83)</f>
        <v>1.8</v>
      </c>
    </row>
    <row r="58" spans="7:27" ht="12.75">
      <c r="G58" s="43" t="s">
        <v>69</v>
      </c>
      <c r="H58" s="54">
        <v>-0.888811475</v>
      </c>
      <c r="J58" s="16" t="s">
        <v>62</v>
      </c>
      <c r="K58" s="59">
        <f>$C$16/COS($C$8*PI()/180)</f>
        <v>26</v>
      </c>
      <c r="N58" s="41" t="s">
        <v>34</v>
      </c>
      <c r="O58" s="15">
        <f>IF($G$38=$G$39,"",IF($C$10=0,"",($C$10*$H$55/$H$56)^(1/$H$57)))</f>
        <v>0.007837162342004406</v>
      </c>
      <c r="R58" s="3">
        <f t="shared" si="5"/>
        <v>7</v>
      </c>
      <c r="S58" s="3">
        <f t="shared" si="0"/>
        <v>8.615979045241785</v>
      </c>
      <c r="T58" s="63">
        <f t="shared" si="1"/>
        <v>7.0105258072196985</v>
      </c>
      <c r="U58" s="63">
        <f t="shared" si="6"/>
        <v>-3.1401066120258587</v>
      </c>
      <c r="V58" s="63">
        <f t="shared" si="3"/>
        <v>6.999999999999999</v>
      </c>
      <c r="W58" s="63">
        <f t="shared" si="2"/>
        <v>8.615979045241785</v>
      </c>
      <c r="X58" s="3">
        <f t="shared" si="4"/>
        <v>1.8</v>
      </c>
      <c r="Z58" s="25">
        <f>$C$16</f>
        <v>26</v>
      </c>
      <c r="AA58" s="3">
        <f>IF(Q38&lt;=Q43,IF(W83&lt;1.8,1.8,W83),10)</f>
        <v>3.702078256805021</v>
      </c>
    </row>
    <row r="59" spans="7:24" ht="12.75">
      <c r="G59" s="43" t="s">
        <v>70</v>
      </c>
      <c r="H59" s="54">
        <v>0.850274154</v>
      </c>
      <c r="J59" s="16" t="s">
        <v>12</v>
      </c>
      <c r="K59" s="59">
        <f>$C$16*TAN($C$8*PI()/180)</f>
        <v>0</v>
      </c>
      <c r="N59" s="41" t="s">
        <v>77</v>
      </c>
      <c r="O59" s="44">
        <f>IF($C$10=0,"",IF($G$38=$G$39,"",-TAN($C$8*PI()/180)))</f>
        <v>0</v>
      </c>
      <c r="R59" s="3">
        <f t="shared" si="5"/>
        <v>8</v>
      </c>
      <c r="S59" s="3">
        <f t="shared" si="0"/>
        <v>8.498421610111718</v>
      </c>
      <c r="T59" s="63">
        <f t="shared" si="1"/>
        <v>8.015708382994164</v>
      </c>
      <c r="U59" s="63">
        <f t="shared" si="6"/>
        <v>-3.58759463548517</v>
      </c>
      <c r="V59" s="63">
        <f t="shared" si="3"/>
        <v>8</v>
      </c>
      <c r="W59" s="63">
        <f t="shared" si="2"/>
        <v>8.498421610111718</v>
      </c>
      <c r="X59" s="3">
        <f t="shared" si="4"/>
        <v>1.8</v>
      </c>
    </row>
    <row r="60" spans="7:27" ht="15.75">
      <c r="G60" s="43" t="s">
        <v>71</v>
      </c>
      <c r="H60" s="54">
        <v>0.02823292287</v>
      </c>
      <c r="J60" s="16" t="s">
        <v>67</v>
      </c>
      <c r="K60" s="60">
        <f>IF(C10=0,"",IF(K62="","",IF(Q38&gt;Q43,"",IF(Q38=Q43,IF(C8&gt;0,"",ROUND($C$14+$K$59-$K$62-1.8,1)),IF(C8&lt;0,"",ROUND($C$14+$K$59-$K$62-1.8,1))))))</f>
        <v>1.9</v>
      </c>
      <c r="L60" s="57" t="s">
        <v>90</v>
      </c>
      <c r="M60" s="58"/>
      <c r="N60" s="41" t="s">
        <v>76</v>
      </c>
      <c r="O60" s="15">
        <f>IF($C$10=0,"",IF($G$38=$G$39,"",$O$63-$O$59*$O$62))</f>
        <v>0</v>
      </c>
      <c r="R60" s="3">
        <f t="shared" si="5"/>
        <v>9</v>
      </c>
      <c r="S60" s="3">
        <f t="shared" si="0"/>
        <v>8.365189850297643</v>
      </c>
      <c r="T60" s="63">
        <f t="shared" si="1"/>
        <v>9.02236021926442</v>
      </c>
      <c r="U60" s="63">
        <f t="shared" si="6"/>
        <v>-4.034644849531235</v>
      </c>
      <c r="V60" s="63">
        <f t="shared" si="3"/>
        <v>9</v>
      </c>
      <c r="W60" s="63">
        <f t="shared" si="2"/>
        <v>8.365189850297643</v>
      </c>
      <c r="X60" s="3">
        <f t="shared" si="4"/>
        <v>1.8</v>
      </c>
      <c r="Z60" s="79" t="s">
        <v>105</v>
      </c>
      <c r="AA60" s="79"/>
    </row>
    <row r="61" spans="7:27" ht="15.75">
      <c r="G61" s="43" t="s">
        <v>72</v>
      </c>
      <c r="H61" s="54">
        <v>8</v>
      </c>
      <c r="J61" s="16" t="s">
        <v>67</v>
      </c>
      <c r="K61" s="15">
        <f>IF(K60&gt;=0,K60,0)</f>
        <v>1.9</v>
      </c>
      <c r="L61" s="3" t="s">
        <v>91</v>
      </c>
      <c r="N61" s="41" t="s">
        <v>97</v>
      </c>
      <c r="O61" s="15">
        <f>IF($C$10=0,"",IF($G$38=$G$39,"",-(C14-1.8)/COS(C8*PI()/180)))</f>
        <v>-7.2</v>
      </c>
      <c r="R61" s="3">
        <f t="shared" si="5"/>
        <v>10</v>
      </c>
      <c r="S61" s="3">
        <f t="shared" si="0"/>
        <v>8.21628376579956</v>
      </c>
      <c r="T61" s="63">
        <f t="shared" si="1"/>
        <v>10.030663544140502</v>
      </c>
      <c r="U61" s="63">
        <f t="shared" si="6"/>
        <v>-4.481203550841487</v>
      </c>
      <c r="V61" s="63">
        <f t="shared" si="3"/>
        <v>9.999999999999998</v>
      </c>
      <c r="W61" s="63">
        <f t="shared" si="2"/>
        <v>8.21628376579956</v>
      </c>
      <c r="X61" s="3">
        <f t="shared" si="4"/>
        <v>1.8</v>
      </c>
      <c r="Z61" s="4" t="s">
        <v>99</v>
      </c>
      <c r="AA61" s="4" t="s">
        <v>100</v>
      </c>
    </row>
    <row r="62" spans="3:27" ht="15.75">
      <c r="C62" s="25"/>
      <c r="G62" s="43" t="s">
        <v>74</v>
      </c>
      <c r="H62" s="54">
        <v>1.149466667</v>
      </c>
      <c r="J62" s="16" t="s">
        <v>66</v>
      </c>
      <c r="K62" s="60">
        <f>IF(G38=G39,"",IF($C$10=0,"",(($C$10*$H$55/$H$56)^(1/$H$57))*$K$58^2))</f>
        <v>5.297921743194978</v>
      </c>
      <c r="N62" s="41" t="s">
        <v>78</v>
      </c>
      <c r="O62" s="15">
        <f>IF(O58="","",O59/(2*O58))</f>
        <v>0</v>
      </c>
      <c r="R62" s="3">
        <f t="shared" si="5"/>
        <v>11</v>
      </c>
      <c r="S62" s="3">
        <f t="shared" si="0"/>
        <v>8.051703356617466</v>
      </c>
      <c r="T62" s="63">
        <f t="shared" si="1"/>
        <v>11.040800085313137</v>
      </c>
      <c r="U62" s="63">
        <f t="shared" si="6"/>
        <v>-4.92721739291635</v>
      </c>
      <c r="V62" s="63">
        <f t="shared" si="3"/>
        <v>11</v>
      </c>
      <c r="W62" s="63">
        <f t="shared" si="2"/>
        <v>8.051703356617466</v>
      </c>
      <c r="X62" s="3">
        <f t="shared" si="4"/>
        <v>1.8</v>
      </c>
      <c r="Z62" s="25">
        <f>IF(Q38&gt;Q43,IF($C$8&lt;0,O74,""),IF(Q38=Q43,IF($C$8&lt;=0,K72,""),IF($C$8&gt;=0,K71,"")))</f>
        <v>26</v>
      </c>
      <c r="AA62" s="3">
        <v>1.8</v>
      </c>
    </row>
    <row r="63" spans="7:27" ht="15.75">
      <c r="G63" s="43" t="s">
        <v>75</v>
      </c>
      <c r="H63" s="54">
        <v>0.4898</v>
      </c>
      <c r="J63" s="61" t="s">
        <v>68</v>
      </c>
      <c r="K63" s="62">
        <f>IF($C$10=0,"",IF($C$10="","",IF($G$38=$G$39,"",($H$60*$H$61/$K$58)*(($C$10/3.6)*($C$6/80)^(1/$H$58))^$H$59)))</f>
        <v>0.3832049445393538</v>
      </c>
      <c r="L63" s="1"/>
      <c r="N63" s="41" t="s">
        <v>79</v>
      </c>
      <c r="O63" s="15">
        <f>IF(O58="","",O58*O62^2)</f>
        <v>0</v>
      </c>
      <c r="R63" s="3">
        <f t="shared" si="5"/>
        <v>12</v>
      </c>
      <c r="S63" s="3">
        <f t="shared" si="0"/>
        <v>7.871448622751366</v>
      </c>
      <c r="T63" s="63">
        <f t="shared" si="1"/>
        <v>12.052951016704988</v>
      </c>
      <c r="U63" s="63">
        <f t="shared" si="6"/>
        <v>-5.372633423427722</v>
      </c>
      <c r="V63" s="63">
        <f t="shared" si="3"/>
        <v>12</v>
      </c>
      <c r="W63" s="63">
        <f t="shared" si="2"/>
        <v>7.871448622751366</v>
      </c>
      <c r="X63" s="3">
        <f t="shared" si="4"/>
        <v>1.8</v>
      </c>
      <c r="Z63" s="25">
        <f>IF(Z62&lt;C16,IF(Q38&gt;Q43,IF(O69&lt;(C14-1.8),0,Z62),Z62),C16)</f>
        <v>26</v>
      </c>
      <c r="AA63" s="3">
        <f>IF(Q38&gt;Q43,IF(O69&lt;(C14-1.8),0,1.8),1.8)</f>
        <v>1.8</v>
      </c>
    </row>
    <row r="64" spans="7:24" ht="12.75">
      <c r="G64" s="43" t="s">
        <v>76</v>
      </c>
      <c r="H64" s="54">
        <v>-1.0119</v>
      </c>
      <c r="J64" s="41" t="s">
        <v>34</v>
      </c>
      <c r="K64" s="15">
        <f>IF($G$38=$G$39,"",IF($C$10=0,"",($C$10*$H$55/$H$56)^(1/$H$57)))</f>
        <v>0.007837162342004406</v>
      </c>
      <c r="N64" s="41" t="s">
        <v>80</v>
      </c>
      <c r="O64" s="44">
        <f>IF(C10=0,"",IF(G38=G39,"",SQRT(O62^2+O63^2)))</f>
        <v>0</v>
      </c>
      <c r="R64" s="3">
        <f t="shared" si="5"/>
        <v>13</v>
      </c>
      <c r="S64" s="3">
        <f t="shared" si="0"/>
        <v>7.675519564201256</v>
      </c>
      <c r="T64" s="63">
        <f t="shared" si="1"/>
        <v>13.067296905818495</v>
      </c>
      <c r="U64" s="63">
        <f t="shared" si="6"/>
        <v>-5.817399120860804</v>
      </c>
      <c r="V64" s="63">
        <f t="shared" si="3"/>
        <v>12.999999999999998</v>
      </c>
      <c r="W64" s="63">
        <f t="shared" si="2"/>
        <v>7.675519564201256</v>
      </c>
      <c r="X64" s="3">
        <f t="shared" si="4"/>
        <v>1.8</v>
      </c>
    </row>
    <row r="65" spans="10:27" ht="12.75">
      <c r="J65" s="41" t="s">
        <v>77</v>
      </c>
      <c r="K65" s="44">
        <f>IF($C$10=0,"",IF($G$38=$G$39,"",-TAN($C$8*PI()/180)))</f>
        <v>0</v>
      </c>
      <c r="N65" s="65" t="s">
        <v>81</v>
      </c>
      <c r="O65" s="44">
        <f>IF(C10=0,"",IF(G38=G39,"",IF(C8&gt;=0,"",(180/PI())*ATAN(O63/O62))))</f>
      </c>
      <c r="R65" s="3">
        <f t="shared" si="5"/>
        <v>14</v>
      </c>
      <c r="S65" s="3">
        <f t="shared" si="0"/>
        <v>7.463916180967137</v>
      </c>
      <c r="T65" s="63">
        <f t="shared" si="1"/>
        <v>14.08401766184261</v>
      </c>
      <c r="U65" s="63">
        <f t="shared" si="6"/>
        <v>-6.261462430387648</v>
      </c>
      <c r="V65" s="63">
        <f t="shared" si="3"/>
        <v>14</v>
      </c>
      <c r="W65" s="63">
        <f t="shared" si="2"/>
        <v>7.463916180967137</v>
      </c>
      <c r="X65" s="3">
        <f t="shared" si="4"/>
        <v>1.8</v>
      </c>
      <c r="Z65" s="79" t="s">
        <v>114</v>
      </c>
      <c r="AA65" s="79"/>
    </row>
    <row r="66" spans="7:27" ht="15.75">
      <c r="G66" s="81" t="s">
        <v>106</v>
      </c>
      <c r="H66" s="81"/>
      <c r="J66" s="41" t="s">
        <v>76</v>
      </c>
      <c r="K66" s="15">
        <f>IF($C$10=0,"",IF($G$38=$G$39,"",-(C14-1.8)/COS(C8*PI()/180)))</f>
        <v>-7.2</v>
      </c>
      <c r="N66" s="41" t="s">
        <v>82</v>
      </c>
      <c r="O66" s="44">
        <f>IF(C10=0,"",IF(G38=G39,"",IF(C8&gt;=0,"",O64*COS((C8+O65)*PI()/180))))</f>
      </c>
      <c r="R66" s="3">
        <f t="shared" si="5"/>
        <v>15</v>
      </c>
      <c r="S66" s="3">
        <f t="shared" si="0"/>
        <v>7.236638473049009</v>
      </c>
      <c r="T66" s="63">
        <f t="shared" si="1"/>
        <v>15.103292484578683</v>
      </c>
      <c r="U66" s="63">
        <f t="shared" si="6"/>
        <v>-6.70477179891384</v>
      </c>
      <c r="V66" s="63">
        <f t="shared" si="3"/>
        <v>14.999999999999998</v>
      </c>
      <c r="W66" s="63">
        <f t="shared" si="2"/>
        <v>7.236638473049009</v>
      </c>
      <c r="X66" s="3">
        <f t="shared" si="4"/>
        <v>1.8</v>
      </c>
      <c r="Z66" s="4" t="s">
        <v>99</v>
      </c>
      <c r="AA66" s="4" t="s">
        <v>100</v>
      </c>
    </row>
    <row r="67" spans="7:27" ht="15.75">
      <c r="G67" s="16" t="s">
        <v>75</v>
      </c>
      <c r="H67" s="15">
        <v>0.6203</v>
      </c>
      <c r="J67" s="41" t="s">
        <v>93</v>
      </c>
      <c r="K67" s="60">
        <f>IF($C$10=0,"",IF($G$38=$G$39,"",(-$K$65+SQRT($K$65^2-4*$K$64*$K$66))/(2*$K$64)))</f>
        <v>30.31006213849831</v>
      </c>
      <c r="N67" s="41" t="s">
        <v>83</v>
      </c>
      <c r="O67" s="44">
        <f>IF(C10=0,"",IF(G38=G39,"",IF(C8&gt;=0,"",O64*SIN((C8+O65)*PI()/180))))</f>
      </c>
      <c r="R67" s="3">
        <f t="shared" si="5"/>
        <v>16</v>
      </c>
      <c r="S67" s="3">
        <f t="shared" si="0"/>
        <v>6.993686440446872</v>
      </c>
      <c r="T67" s="63">
        <f t="shared" si="1"/>
        <v>16.125299814243665</v>
      </c>
      <c r="U67" s="63">
        <f t="shared" si="6"/>
        <v>-7.147276209242064</v>
      </c>
      <c r="V67" s="63">
        <f t="shared" si="3"/>
        <v>16</v>
      </c>
      <c r="W67" s="63">
        <f t="shared" si="2"/>
        <v>6.993686440446872</v>
      </c>
      <c r="X67" s="3">
        <f t="shared" si="4"/>
        <v>1.8</v>
      </c>
      <c r="Z67" s="25">
        <v>0</v>
      </c>
      <c r="AA67" s="25">
        <f>C14</f>
        <v>9</v>
      </c>
    </row>
    <row r="68" spans="7:24" ht="15.75">
      <c r="G68" s="16" t="s">
        <v>76</v>
      </c>
      <c r="H68" s="15">
        <v>-0.4032</v>
      </c>
      <c r="J68" s="41" t="s">
        <v>94</v>
      </c>
      <c r="K68" s="60">
        <f>IF($C$10=0,"",IF($G$38=$G$39,"",-$K$64*$K$67^2))</f>
        <v>-7.2</v>
      </c>
      <c r="N68" s="16" t="s">
        <v>84</v>
      </c>
      <c r="O68" s="60">
        <f>IF(C10=0,"",IF(G38=G39,"",IF(C8&gt;=0,"",O64*COS((C8+O65)*PI()/180))))</f>
      </c>
      <c r="R68" s="3">
        <f t="shared" si="5"/>
        <v>17</v>
      </c>
      <c r="S68" s="3">
        <f t="shared" si="0"/>
        <v>6.735060083160727</v>
      </c>
      <c r="T68" s="63">
        <f t="shared" si="1"/>
        <v>17.150217282206423</v>
      </c>
      <c r="U68" s="63">
        <f t="shared" si="6"/>
        <v>-7.588925213299294</v>
      </c>
      <c r="V68" s="63">
        <f t="shared" si="3"/>
        <v>17</v>
      </c>
      <c r="W68" s="63">
        <f t="shared" si="2"/>
        <v>6.735060083160727</v>
      </c>
      <c r="X68" s="3">
        <f t="shared" si="4"/>
        <v>1.8</v>
      </c>
    </row>
    <row r="69" spans="7:27" ht="12.75">
      <c r="G69" s="16" t="s">
        <v>69</v>
      </c>
      <c r="H69" s="15">
        <v>-0.739283723</v>
      </c>
      <c r="J69" s="41" t="s">
        <v>80</v>
      </c>
      <c r="K69" s="64">
        <f>IF($C$10=0,"",IF($G$38=$G$39,"",SQRT(K68^2+K67^2)))</f>
        <v>31.153488838966798</v>
      </c>
      <c r="N69" s="16" t="s">
        <v>85</v>
      </c>
      <c r="O69" s="60">
        <f>IF(C10=0,"",IF(G38=G39,"",IF(C8&gt;=0,"",-$O$60*COS($C$8*PI()/180))))</f>
      </c>
      <c r="R69" s="3">
        <f t="shared" si="5"/>
        <v>18</v>
      </c>
      <c r="S69" s="3">
        <f t="shared" si="0"/>
        <v>6.460759401190573</v>
      </c>
      <c r="T69" s="63">
        <f t="shared" si="1"/>
        <v>18.17822166271063</v>
      </c>
      <c r="U69" s="63">
        <f t="shared" si="6"/>
        <v>-8.029668964377379</v>
      </c>
      <c r="V69" s="63">
        <f t="shared" si="3"/>
        <v>18</v>
      </c>
      <c r="W69" s="63">
        <f t="shared" si="2"/>
        <v>6.460759401190573</v>
      </c>
      <c r="X69" s="3">
        <f t="shared" si="4"/>
        <v>1.8</v>
      </c>
      <c r="Z69" s="79" t="s">
        <v>115</v>
      </c>
      <c r="AA69" s="79"/>
    </row>
    <row r="70" spans="7:27" ht="15.75">
      <c r="G70" s="16" t="s">
        <v>70</v>
      </c>
      <c r="H70" s="15">
        <v>0.817025</v>
      </c>
      <c r="J70" s="65" t="s">
        <v>81</v>
      </c>
      <c r="K70" s="64">
        <f>IF($C$10=0,"",IF($G$38=$G$39,"",(180/PI())*ATAN(K68/K67)))</f>
        <v>-13.3626524229199</v>
      </c>
      <c r="N70" s="41" t="s">
        <v>93</v>
      </c>
      <c r="O70" s="60">
        <f>IF($C$10=0,"",IF($G$38=$G$39,"",IF(C8&gt;=0,"",IF(O69&lt;(C14-1.8),O68,($O$59-SQRT($O$59^2+4*$O$58*$O$61))/(2*$O$58)))))</f>
      </c>
      <c r="R70" s="3">
        <f t="shared" si="5"/>
        <v>19</v>
      </c>
      <c r="S70" s="3">
        <f t="shared" si="0"/>
        <v>6.17078439453641</v>
      </c>
      <c r="T70" s="63">
        <f t="shared" si="1"/>
        <v>19.209488825635074</v>
      </c>
      <c r="U70" s="63">
        <f t="shared" si="6"/>
        <v>-8.469458248339814</v>
      </c>
      <c r="V70" s="63">
        <f t="shared" si="3"/>
        <v>19</v>
      </c>
      <c r="W70" s="63">
        <f t="shared" si="2"/>
        <v>6.17078439453641</v>
      </c>
      <c r="X70" s="3">
        <f t="shared" si="4"/>
        <v>1.8</v>
      </c>
      <c r="Z70" s="4" t="s">
        <v>99</v>
      </c>
      <c r="AA70" s="4" t="s">
        <v>100</v>
      </c>
    </row>
    <row r="71" spans="7:27" ht="15.75">
      <c r="G71" s="16" t="s">
        <v>107</v>
      </c>
      <c r="H71" s="15">
        <f>LOOKUP(Q38,Q39:Q47,V39:V47)</f>
        <v>0</v>
      </c>
      <c r="J71" s="61" t="s">
        <v>92</v>
      </c>
      <c r="K71" s="62">
        <f>IF($C$10=0,"",IF($G$38=$G$39,"",IF((K69*COS((C8+K70)*PI()/180))&gt;C16,C16,K69*COS((C8+K70)*PI()/180))))</f>
        <v>26</v>
      </c>
      <c r="L71" s="3" t="s">
        <v>95</v>
      </c>
      <c r="N71" s="41" t="s">
        <v>94</v>
      </c>
      <c r="O71" s="60">
        <f>IF($C$10=0,"",IF($G$38=$G$39,"",IF(C8&gt;=0,"",$O$58*$O$70^2)))</f>
      </c>
      <c r="R71" s="3">
        <f t="shared" si="5"/>
        <v>20</v>
      </c>
      <c r="S71" s="3">
        <f t="shared" si="0"/>
        <v>5.865135063198238</v>
      </c>
      <c r="T71" s="63">
        <f t="shared" si="1"/>
        <v>20.244193690339685</v>
      </c>
      <c r="U71" s="63">
        <f t="shared" si="6"/>
        <v>-8.90824451375089</v>
      </c>
      <c r="V71" s="63">
        <f t="shared" si="3"/>
        <v>20</v>
      </c>
      <c r="W71" s="63">
        <f t="shared" si="2"/>
        <v>5.865135063198238</v>
      </c>
      <c r="X71" s="3">
        <f t="shared" si="4"/>
        <v>1.8</v>
      </c>
      <c r="Z71" s="25">
        <f>IF($Q$38&lt;$Q$43,IF($C$8&gt;=0,IF($C$28&gt;0,$C$16,$K$71),0),IF($Q$38=$Q$43,IF($C$8&lt;=0,IF($C$28&gt;0,$C$16,$K$72),0),IF($C$8&lt;=0,IF($C$29&gt;0.5,0,IF($C$29&lt;=0,$O$74,$V$85)),0)))</f>
        <v>26</v>
      </c>
      <c r="AA71" s="3">
        <f>IF($Q$38&lt;$Q$43,IF($C$8&gt;=0,IF($C$28&gt;=0,1.8,$K$71),20),IF($Q$38=$Q$43,IF($C$8&lt;=0,IF($C$28&gt;=0,1.8,1.8),20),IF($C$8&lt;=0,IF($C$29&gt;0.5,20,IF($C$29&lt;=0,1.8,$W$85)),20)))</f>
        <v>1.8</v>
      </c>
    </row>
    <row r="72" spans="7:24" ht="15.75">
      <c r="G72" s="16" t="s">
        <v>99</v>
      </c>
      <c r="H72" s="15">
        <f>(C10/3.6)*(2*C6/160)^(1/H69)</f>
        <v>67.57439580829492</v>
      </c>
      <c r="J72" s="61" t="s">
        <v>92</v>
      </c>
      <c r="K72" s="60">
        <f>IF($C$10=0,"",IF($G$38=$G$39,"",IF(C8&gt;=0,"",(C14-1.8)/TAN(-C8*PI()/180))))</f>
      </c>
      <c r="L72" s="3" t="s">
        <v>96</v>
      </c>
      <c r="N72" s="41" t="s">
        <v>80</v>
      </c>
      <c r="O72" s="67">
        <f>IF($C$10=0,"",IF($G$38=$G$39,"",IF(C8&gt;=0,"",SQRT(O71^2+O70^2))))</f>
      </c>
      <c r="R72" s="3">
        <f t="shared" si="5"/>
        <v>21</v>
      </c>
      <c r="S72" s="3">
        <f t="shared" si="0"/>
        <v>5.543811407176057</v>
      </c>
      <c r="T72" s="63">
        <f t="shared" si="1"/>
        <v>21.282510180642845</v>
      </c>
      <c r="U72" s="63">
        <f t="shared" si="6"/>
        <v>-9.345979900886556</v>
      </c>
      <c r="V72" s="63">
        <f t="shared" si="3"/>
        <v>21</v>
      </c>
      <c r="W72" s="63">
        <f t="shared" si="2"/>
        <v>5.543811407176058</v>
      </c>
      <c r="X72" s="3">
        <f t="shared" si="4"/>
        <v>1.8</v>
      </c>
    </row>
    <row r="73" spans="7:24" ht="15.75">
      <c r="G73" s="16" t="s">
        <v>108</v>
      </c>
      <c r="H73" s="60">
        <f>C14-1.8</f>
        <v>7.2</v>
      </c>
      <c r="J73" s="61" t="s">
        <v>98</v>
      </c>
      <c r="K73" s="62">
        <f>IF($C$10=0,"",IF($C$10="","",IF($G$38=$G$39,"",($H$60*$H$61/$K$69)*(($C$10/3.6)*($C$6/80)^(1/$H$58))^$H$59)))</f>
        <v>0.3198142143733534</v>
      </c>
      <c r="L73" s="3" t="s">
        <v>95</v>
      </c>
      <c r="N73" s="65" t="s">
        <v>81</v>
      </c>
      <c r="O73" s="67">
        <f>IF($C$10=0,"",IF($G$38=$G$39,"",IF(C8&gt;=0,"",(180/PI())*ATAN(O71/O70))))</f>
      </c>
      <c r="R73" s="3">
        <f t="shared" si="5"/>
        <v>22</v>
      </c>
      <c r="S73" s="3">
        <f t="shared" si="0"/>
        <v>5.206813426469868</v>
      </c>
      <c r="T73" s="63">
        <f t="shared" si="1"/>
        <v>22.324611180972653</v>
      </c>
      <c r="U73" s="63">
        <f t="shared" si="6"/>
        <v>-9.782617269589897</v>
      </c>
      <c r="V73" s="63">
        <f t="shared" si="3"/>
        <v>21.999999999999996</v>
      </c>
      <c r="W73" s="63">
        <f t="shared" si="2"/>
        <v>5.206813426469868</v>
      </c>
      <c r="X73" s="3">
        <f t="shared" si="4"/>
        <v>1.8</v>
      </c>
    </row>
    <row r="74" spans="10:24" ht="15.75">
      <c r="J74" s="61" t="s">
        <v>98</v>
      </c>
      <c r="K74" s="62">
        <f>IF($C$10=0,"",IF($C$10="","",IF($G$38=$G$39,"",IF(C8&gt;=0,"",($H$60*$H$61/SQRT(K72^2+(C14-1.8)^2))*(($C$10/3.6)*($C$6/80)^(1/$H$58))^$H$59))))</f>
      </c>
      <c r="L74" s="3" t="s">
        <v>96</v>
      </c>
      <c r="N74" s="61" t="s">
        <v>92</v>
      </c>
      <c r="O74" s="62">
        <f>IF($C$10=0,"",IF($G$38=$G$39,"",IF(C8&gt;=0,"",O72*COS((C8+O73)*PI()/180))))</f>
      </c>
      <c r="R74" s="3">
        <f t="shared" si="5"/>
        <v>23</v>
      </c>
      <c r="S74" s="3">
        <f t="shared" si="0"/>
        <v>4.854141121079669</v>
      </c>
      <c r="T74" s="63">
        <f t="shared" si="1"/>
        <v>23.370668493732104</v>
      </c>
      <c r="U74" s="63">
        <f t="shared" si="6"/>
        <v>-10.218110225937563</v>
      </c>
      <c r="V74" s="63">
        <f t="shared" si="3"/>
        <v>22.999999999999996</v>
      </c>
      <c r="W74" s="63">
        <f t="shared" si="2"/>
        <v>4.85414112107967</v>
      </c>
      <c r="X74" s="3">
        <f t="shared" si="4"/>
        <v>1.8</v>
      </c>
    </row>
    <row r="75" spans="7:24" ht="15.75">
      <c r="G75" s="81" t="s">
        <v>111</v>
      </c>
      <c r="H75" s="81"/>
      <c r="J75" s="61" t="s">
        <v>73</v>
      </c>
      <c r="K75" s="60">
        <f>IF($K$63=0,"",IF(K63="","",IF(K61="","",IF(K61=0,"",($H$63*$K$61^$H$64)*$K$63^$H$62))))</f>
        <v>0.08494072269552208</v>
      </c>
      <c r="N75" s="61" t="s">
        <v>98</v>
      </c>
      <c r="O75" s="62">
        <f>IF($C$10=0,"",IF($C$10="","",IF($G$38=$G$39,"",IF(C8&gt;=0,"",($H$60*$H$61/$O$72)*(($C$10/3.6)*($C$6/80)^(1/$H$58))^$H$59))))</f>
      </c>
      <c r="R75" s="3">
        <f t="shared" si="5"/>
        <v>24</v>
      </c>
      <c r="S75" s="3">
        <f t="shared" si="0"/>
        <v>4.485794491005462</v>
      </c>
      <c r="T75" s="63">
        <f t="shared" si="1"/>
        <v>24.420852797915074</v>
      </c>
      <c r="U75" s="63">
        <f t="shared" si="6"/>
        <v>-10.652413147686953</v>
      </c>
      <c r="V75" s="63">
        <f t="shared" si="3"/>
        <v>23.999999999999996</v>
      </c>
      <c r="W75" s="63">
        <f t="shared" si="2"/>
        <v>4.485794491005462</v>
      </c>
      <c r="X75" s="3">
        <f t="shared" si="4"/>
        <v>1.8</v>
      </c>
    </row>
    <row r="76" spans="7:24" ht="12.75">
      <c r="G76" s="16" t="s">
        <v>109</v>
      </c>
      <c r="H76" s="15">
        <f>LOOKUP($G$38,$G$39:$G$44,$N$39:$N$44)</f>
        <v>1.127</v>
      </c>
      <c r="R76" s="3">
        <f t="shared" si="5"/>
        <v>25</v>
      </c>
      <c r="S76" s="3">
        <f t="shared" si="0"/>
        <v>4.101773536247246</v>
      </c>
      <c r="T76" s="63">
        <f t="shared" si="1"/>
        <v>25.475333609007123</v>
      </c>
      <c r="U76" s="63">
        <f t="shared" si="6"/>
        <v>-11.085481208477617</v>
      </c>
      <c r="V76" s="63">
        <f t="shared" si="3"/>
        <v>25</v>
      </c>
      <c r="W76" s="63">
        <f t="shared" si="2"/>
        <v>4.101773536247246</v>
      </c>
      <c r="X76" s="3">
        <f t="shared" si="4"/>
        <v>1.8</v>
      </c>
    </row>
    <row r="77" spans="7:24" ht="12.75">
      <c r="G77" s="16" t="s">
        <v>110</v>
      </c>
      <c r="H77" s="15">
        <f>LOOKUP($G$38,$G$39:$G$44,$O$39:$O$44)</f>
        <v>6.9</v>
      </c>
      <c r="R77" s="3">
        <f t="shared" si="5"/>
        <v>26</v>
      </c>
      <c r="S77" s="3">
        <f t="shared" si="0"/>
        <v>3.702078256805022</v>
      </c>
      <c r="T77" s="63">
        <f t="shared" si="1"/>
        <v>26.53427924020206</v>
      </c>
      <c r="U77" s="63">
        <f t="shared" si="6"/>
        <v>-11.51727040076384</v>
      </c>
      <c r="V77" s="63">
        <f t="shared" si="3"/>
        <v>26</v>
      </c>
      <c r="W77" s="63">
        <f t="shared" si="2"/>
        <v>3.702078256805021</v>
      </c>
      <c r="X77" s="3">
        <f t="shared" si="4"/>
        <v>1.8</v>
      </c>
    </row>
    <row r="78" spans="7:24" ht="15">
      <c r="G78" s="16" t="s">
        <v>112</v>
      </c>
      <c r="H78" s="60">
        <f>IF(Q38&lt;Q43,IF(K61&gt;0,C16+C14-1.8,SQRT(K71^2+(C14-1.8)^2)),IF(Q38=Q43,IF(C16*TAN(-C8*PI()/180)&lt;(C14-1.8),SQRT(C16^2+(C16*TAN(-C8*PI()/180))^2)+C14-1.8-C16*TAN(-C8*PI()/180),(C14-1.8)/SIN(-C8*PI()/180)),IF(C29&lt;0,SQRT(O74^2+(C14-1.8)^2),IF(C29&lt;0.5,V85+C14-1.8-C29,""))))</f>
        <v>33.2</v>
      </c>
      <c r="L78" s="69" t="s">
        <v>34</v>
      </c>
      <c r="M78" s="69" t="s">
        <v>107</v>
      </c>
      <c r="R78" s="3">
        <f t="shared" si="5"/>
        <v>26</v>
      </c>
      <c r="S78" s="3">
        <f t="shared" si="0"/>
        <v>3.702078256805022</v>
      </c>
      <c r="T78" s="63">
        <f t="shared" si="1"/>
        <v>26.53427924020206</v>
      </c>
      <c r="U78" s="63">
        <f t="shared" si="6"/>
        <v>-11.51727040076384</v>
      </c>
      <c r="V78" s="63">
        <f t="shared" si="3"/>
        <v>26</v>
      </c>
      <c r="W78" s="63">
        <f t="shared" si="2"/>
        <v>3.702078256805021</v>
      </c>
      <c r="X78" s="3">
        <f t="shared" si="4"/>
        <v>1.8</v>
      </c>
    </row>
    <row r="79" spans="10:24" ht="12.75">
      <c r="J79" s="3">
        <v>2</v>
      </c>
      <c r="K79" s="3">
        <v>50</v>
      </c>
      <c r="L79" s="63">
        <v>3.2</v>
      </c>
      <c r="M79" s="63">
        <v>1</v>
      </c>
      <c r="R79" s="3">
        <f t="shared" si="5"/>
        <v>26</v>
      </c>
      <c r="S79" s="3">
        <f t="shared" si="0"/>
        <v>3.702078256805022</v>
      </c>
      <c r="T79" s="63">
        <f t="shared" si="1"/>
        <v>26.53427924020206</v>
      </c>
      <c r="U79" s="63">
        <f t="shared" si="6"/>
        <v>-11.51727040076384</v>
      </c>
      <c r="V79" s="63">
        <f t="shared" si="3"/>
        <v>26</v>
      </c>
      <c r="W79" s="63">
        <f t="shared" si="2"/>
        <v>3.702078256805021</v>
      </c>
      <c r="X79" s="3">
        <f t="shared" si="4"/>
        <v>1.8</v>
      </c>
    </row>
    <row r="80" spans="7:24" ht="12.75">
      <c r="G80" s="3" t="s">
        <v>121</v>
      </c>
      <c r="H80" s="51">
        <v>90</v>
      </c>
      <c r="J80" s="3">
        <v>3</v>
      </c>
      <c r="K80" s="3">
        <v>80</v>
      </c>
      <c r="L80" s="63">
        <v>7.832</v>
      </c>
      <c r="M80" s="63">
        <f>-38.88</f>
        <v>-38.88</v>
      </c>
      <c r="R80" s="3">
        <f t="shared" si="5"/>
        <v>26</v>
      </c>
      <c r="S80" s="3">
        <f t="shared" si="0"/>
        <v>3.702078256805022</v>
      </c>
      <c r="T80" s="63">
        <f t="shared" si="1"/>
        <v>26.53427924020206</v>
      </c>
      <c r="U80" s="63">
        <f t="shared" si="6"/>
        <v>-11.51727040076384</v>
      </c>
      <c r="V80" s="63">
        <f t="shared" si="3"/>
        <v>26</v>
      </c>
      <c r="W80" s="63">
        <f t="shared" si="2"/>
        <v>3.702078256805021</v>
      </c>
      <c r="X80" s="3">
        <f t="shared" si="4"/>
        <v>1.8</v>
      </c>
    </row>
    <row r="81" spans="7:24" ht="12.75">
      <c r="G81" s="7" t="s">
        <v>9</v>
      </c>
      <c r="H81" s="3">
        <f>H80/10</f>
        <v>9</v>
      </c>
      <c r="J81" s="3">
        <v>4</v>
      </c>
      <c r="K81" s="3">
        <v>150</v>
      </c>
      <c r="L81" s="70">
        <v>25.72</v>
      </c>
      <c r="M81" s="71">
        <v>-257.3</v>
      </c>
      <c r="R81" s="3">
        <f t="shared" si="5"/>
        <v>26</v>
      </c>
      <c r="S81" s="3">
        <f t="shared" si="0"/>
        <v>3.702078256805022</v>
      </c>
      <c r="T81" s="63">
        <f t="shared" si="1"/>
        <v>26.53427924020206</v>
      </c>
      <c r="U81" s="63">
        <f t="shared" si="6"/>
        <v>-11.51727040076384</v>
      </c>
      <c r="V81" s="63">
        <f t="shared" si="3"/>
        <v>26</v>
      </c>
      <c r="W81" s="63">
        <f t="shared" si="2"/>
        <v>3.702078256805021</v>
      </c>
      <c r="X81" s="3">
        <f t="shared" si="4"/>
        <v>1.8</v>
      </c>
    </row>
    <row r="82" spans="10:18" ht="12.75">
      <c r="J82" s="3">
        <v>5</v>
      </c>
      <c r="K82" s="3">
        <v>200</v>
      </c>
      <c r="L82" s="70">
        <v>44.3</v>
      </c>
      <c r="M82" s="71">
        <v>-443.2</v>
      </c>
      <c r="R82" s="3" t="s">
        <v>60</v>
      </c>
    </row>
    <row r="83" spans="10:23" ht="12.75">
      <c r="J83" s="3">
        <v>6</v>
      </c>
      <c r="K83" s="3">
        <v>230</v>
      </c>
      <c r="L83" s="70">
        <v>57.67</v>
      </c>
      <c r="M83" s="71">
        <v>-576.5</v>
      </c>
      <c r="R83" s="25">
        <f>C16</f>
        <v>26</v>
      </c>
      <c r="S83" s="3">
        <f>IF($Q$38&gt;$Q$43,IF($C$8&lt;=0,$O$58*R83^2+$C$14,""),IF($Q$38=$Q$43,IF($C$8&lt;=0,R83*TAN($C$8*PI()/180)+$C$14,""),IF($C$8&gt;=0,-$K$64*R83^2+$C$14,"")))</f>
        <v>3.702078256805022</v>
      </c>
      <c r="T83" s="63">
        <f>SQRT(R83^2+(S83-$C$14)^2)</f>
        <v>26.53427924020206</v>
      </c>
      <c r="U83" s="63">
        <f>180/PI()*ATAN((S83-$C$14)/R83)</f>
        <v>-11.51727040076384</v>
      </c>
      <c r="V83" s="63">
        <f>IF($Q$38=$Q$43,R83,IF((T83*COS(($C$8+U83)*PI()/180))&lt;$C$16,T83*COS(($C$8+U83)*PI()/180),$C$16))</f>
        <v>26</v>
      </c>
      <c r="W83" s="63">
        <f>T83*SIN(($C$8+U83)*PI()/180)+$C$14</f>
        <v>3.702078256805021</v>
      </c>
    </row>
    <row r="84" spans="12:13" ht="12.75">
      <c r="L84" s="4">
        <f>INDEX($J$79:$M$83,MATCH($G$38,$J$79:$J$83,0),3)</f>
        <v>57.67</v>
      </c>
      <c r="M84" s="4">
        <f>INDEX($J$79:$M$83,MATCH($G$38,$J$79:$J$83,0),4)</f>
        <v>-576.5</v>
      </c>
    </row>
    <row r="85" spans="21:23" ht="12.75">
      <c r="U85" s="3" t="s">
        <v>113</v>
      </c>
      <c r="V85" s="25">
        <f>INDEX(V51:W81,MATCH(W85,W51:W81,0),1)</f>
        <v>26</v>
      </c>
      <c r="W85" s="3">
        <f>MIN(W52:W81)</f>
        <v>3.702078256805021</v>
      </c>
    </row>
  </sheetData>
  <sheetProtection password="F238" sheet="1" objects="1" scenarios="1" selectLockedCells="1"/>
  <mergeCells count="11">
    <mergeCell ref="Z69:AA69"/>
    <mergeCell ref="G75:H75"/>
    <mergeCell ref="Z60:AA60"/>
    <mergeCell ref="N57:O57"/>
    <mergeCell ref="G66:H66"/>
    <mergeCell ref="K2:L2"/>
    <mergeCell ref="G46:H46"/>
    <mergeCell ref="Z50:AA50"/>
    <mergeCell ref="Z55:AA55"/>
    <mergeCell ref="J57:K57"/>
    <mergeCell ref="Z65:AA65"/>
  </mergeCells>
  <conditionalFormatting sqref="C32">
    <cfRule type="cellIs" priority="3" dxfId="1" operator="greaterThan" stopIfTrue="1">
      <formula>$H$73</formula>
    </cfRule>
  </conditionalFormatting>
  <conditionalFormatting sqref="C27">
    <cfRule type="cellIs" priority="4" dxfId="1" operator="greaterThan" stopIfTrue="1">
      <formula>40</formula>
    </cfRule>
    <cfRule type="cellIs" priority="5" dxfId="0" operator="equal" stopIfTrue="1">
      <formula>"-"</formula>
    </cfRule>
  </conditionalFormatting>
  <conditionalFormatting sqref="C28">
    <cfRule type="cellIs" priority="6" dxfId="1" operator="equal" stopIfTrue="1">
      <formula>"&lt;0!"</formula>
    </cfRule>
  </conditionalFormatting>
  <conditionalFormatting sqref="F12">
    <cfRule type="cellIs" priority="7" dxfId="1" operator="equal" stopIfTrue="1">
      <formula>"Consentito solo riscaldamento!"</formula>
    </cfRule>
  </conditionalFormatting>
  <conditionalFormatting sqref="C39">
    <cfRule type="cellIs" priority="1" dxfId="1" operator="greaterThan" stopIfTrue="1">
      <formula>40</formula>
    </cfRule>
    <cfRule type="cellIs" priority="2" dxfId="0" operator="equal" stopIfTrue="1">
      <formula>"-"</formula>
    </cfRule>
  </conditionalFormatting>
  <dataValidations count="5">
    <dataValidation type="whole" operator="greaterThanOrEqual" allowBlank="1" showInputMessage="1" showErrorMessage="1" errorTitle="Valori ammessi" error="La portata d'aria deve essere positiva" sqref="C10">
      <formula1>0</formula1>
    </dataValidation>
    <dataValidation allowBlank="1" showInputMessage="1" showErrorMessage="1" errorTitle="Lunghezze ammesse" error="L minimo = 300 mm&#10;L massimo = 2000 mm" sqref="C8"/>
    <dataValidation allowBlank="1" showInputMessage="1" showErrorMessage="1" errorTitle="Posizione deflettori" error="Non va bene!" sqref="F12"/>
    <dataValidation type="decimal" allowBlank="1" showInputMessage="1" showErrorMessage="1" errorTitle="Valori ammessi:" error="3 ... 50 m" sqref="C16">
      <formula1>3</formula1>
      <formula2>50</formula2>
    </dataValidation>
    <dataValidation type="decimal" allowBlank="1" showInputMessage="1" showErrorMessage="1" errorTitle="Valori ammessi:" error="3 ... 10 m" sqref="C14">
      <formula1>3</formula1>
      <formula2>10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Tecnoventi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UGR</dc:title>
  <dc:subject/>
  <dc:creator>Claudio ing. Sponchioni</dc:creator>
  <cp:keywords/>
  <dc:description/>
  <cp:lastModifiedBy>utente</cp:lastModifiedBy>
  <cp:lastPrinted>2009-09-28T10:35:13Z</cp:lastPrinted>
  <dcterms:created xsi:type="dcterms:W3CDTF">2007-09-21T07:39:03Z</dcterms:created>
  <dcterms:modified xsi:type="dcterms:W3CDTF">2015-11-02T16:04:59Z</dcterms:modified>
  <cp:category/>
  <cp:version/>
  <cp:contentType/>
  <cp:contentStatus/>
</cp:coreProperties>
</file>