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476" windowWidth="14415" windowHeight="12735" activeTab="0"/>
  </bookViews>
  <sheets>
    <sheet name="DLF" sheetId="1" r:id="rId1"/>
  </sheets>
  <definedNames>
    <definedName name="_xlnm.Print_Area" localSheetId="0">'DLF'!$A$2:$L$37</definedName>
  </definedNames>
  <calcPr fullCalcOnLoad="1"/>
</workbook>
</file>

<file path=xl/sharedStrings.xml><?xml version="1.0" encoding="utf-8"?>
<sst xmlns="http://schemas.openxmlformats.org/spreadsheetml/2006/main" count="136" uniqueCount="93">
  <si>
    <t>S</t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</si>
  <si>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</si>
  <si>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superficie libera</t>
  </si>
  <si>
    <t>Q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</si>
  <si>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/h]</t>
    </r>
  </si>
  <si>
    <t>portata aria immessa</t>
  </si>
  <si>
    <r>
      <t>D</t>
    </r>
    <r>
      <rPr>
        <b/>
        <sz val="10"/>
        <rFont val="Arial"/>
        <family val="2"/>
      </rPr>
      <t>T</t>
    </r>
  </si>
  <si>
    <t>[°C]</t>
  </si>
  <si>
    <t>salto termico</t>
  </si>
  <si>
    <t>Salto termico</t>
  </si>
  <si>
    <t>Raffreddamento</t>
  </si>
  <si>
    <t>Diffusione isoterma</t>
  </si>
  <si>
    <t>+5</t>
  </si>
  <si>
    <t>Riscaldamento</t>
  </si>
  <si>
    <t>+10</t>
  </si>
  <si>
    <t>H</t>
  </si>
  <si>
    <t>[m]</t>
  </si>
  <si>
    <t>altezza di installazione</t>
  </si>
  <si>
    <t>D</t>
  </si>
  <si>
    <t>Coefficienti</t>
  </si>
  <si>
    <t>Installazione</t>
  </si>
  <si>
    <t>coeff.</t>
  </si>
  <si>
    <t>filo soffitto</t>
  </si>
  <si>
    <t>campo libero</t>
  </si>
  <si>
    <r>
      <t>v</t>
    </r>
    <r>
      <rPr>
        <b/>
        <vertAlign val="subscript"/>
        <sz val="10"/>
        <rFont val="Arial"/>
        <family val="2"/>
      </rPr>
      <t>K</t>
    </r>
  </si>
  <si>
    <t>[m/s]</t>
  </si>
  <si>
    <t>velocità frontale</t>
  </si>
  <si>
    <r>
      <t>D</t>
    </r>
    <r>
      <rPr>
        <b/>
        <sz val="10"/>
        <rFont val="Arial"/>
        <family val="2"/>
      </rPr>
      <t>p</t>
    </r>
  </si>
  <si>
    <t>[Pa]</t>
  </si>
  <si>
    <t>perdite di carico</t>
  </si>
  <si>
    <t>ver.</t>
  </si>
  <si>
    <t>k1</t>
  </si>
  <si>
    <t>k3</t>
  </si>
  <si>
    <t>NR</t>
  </si>
  <si>
    <t xml:space="preserve"> indice di rumorosità</t>
  </si>
  <si>
    <t>y</t>
  </si>
  <si>
    <t>componente verticale di lancio</t>
  </si>
  <si>
    <r>
      <t>v</t>
    </r>
    <r>
      <rPr>
        <b/>
        <vertAlign val="subscript"/>
        <sz val="10"/>
        <rFont val="Arial"/>
        <family val="2"/>
      </rPr>
      <t>1,8</t>
    </r>
  </si>
  <si>
    <t>velocità terminale a 1,8 m da terra</t>
  </si>
  <si>
    <r>
      <t>y</t>
    </r>
    <r>
      <rPr>
        <b/>
        <vertAlign val="subscript"/>
        <sz val="10"/>
        <rFont val="Arial"/>
        <family val="2"/>
      </rPr>
      <t>MAX</t>
    </r>
  </si>
  <si>
    <t>profondità massima in riscaldamento</t>
  </si>
  <si>
    <t>n</t>
  </si>
  <si>
    <t>deflettori</t>
  </si>
  <si>
    <r>
      <t>D</t>
    </r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/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0</t>
    </r>
  </si>
  <si>
    <t>i</t>
  </si>
  <si>
    <t>L</t>
  </si>
  <si>
    <t>[mm]</t>
  </si>
  <si>
    <t>lunghezza diffusore</t>
  </si>
  <si>
    <t>numero feritoie</t>
  </si>
  <si>
    <t>DLF1</t>
  </si>
  <si>
    <t>DLF2</t>
  </si>
  <si>
    <t>DLF3</t>
  </si>
  <si>
    <t>DLF4</t>
  </si>
  <si>
    <t>DLF5</t>
  </si>
  <si>
    <t>DLF6</t>
  </si>
  <si>
    <t>diritti</t>
  </si>
  <si>
    <t>inclinati</t>
  </si>
  <si>
    <t>senza</t>
  </si>
  <si>
    <t>Serranda</t>
  </si>
  <si>
    <t>Senza</t>
  </si>
  <si>
    <t>Con</t>
  </si>
  <si>
    <t>c1</t>
  </si>
  <si>
    <t>c2</t>
  </si>
  <si>
    <t>C1</t>
  </si>
  <si>
    <t>C2</t>
  </si>
  <si>
    <t>a1</t>
  </si>
  <si>
    <t>a2</t>
  </si>
  <si>
    <t>a3</t>
  </si>
  <si>
    <t>b1</t>
  </si>
  <si>
    <t>k corr1</t>
  </si>
  <si>
    <t>v (D/2)</t>
  </si>
  <si>
    <t>k corr2</t>
  </si>
  <si>
    <t>y crit</t>
  </si>
  <si>
    <t>b</t>
  </si>
  <si>
    <t>k corr3</t>
  </si>
  <si>
    <t>Induzione</t>
  </si>
  <si>
    <t>nt</t>
  </si>
  <si>
    <t>t1</t>
  </si>
  <si>
    <t>t2</t>
  </si>
  <si>
    <t>ni</t>
  </si>
  <si>
    <t>t3</t>
  </si>
  <si>
    <t>t4</t>
  </si>
  <si>
    <t>rapporto di temperatura</t>
  </si>
  <si>
    <t>ay</t>
  </si>
  <si>
    <t>by</t>
  </si>
  <si>
    <t>cy</t>
  </si>
  <si>
    <t>x</t>
  </si>
  <si>
    <t>DLF - Diffusori lineari a feritoie</t>
  </si>
  <si>
    <t>interasse diffusori o distanza parete X2</t>
  </si>
  <si>
    <t>cod.</t>
  </si>
  <si>
    <r>
      <t>rapporto di induzione (=Q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</si>
  <si>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2.0.0</t>
  </si>
  <si>
    <t>1-1.0-03.00-I-12/14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</si>
</sst>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165" fontId="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165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0" fontId="0" fillId="0" borderId="1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25</xdr:row>
      <xdr:rowOff>0</xdr:rowOff>
    </xdr:from>
    <xdr:to>
      <xdr:col>5</xdr:col>
      <xdr:colOff>1143000</xdr:colOff>
      <xdr:row>26</xdr:row>
      <xdr:rowOff>0</xdr:rowOff>
    </xdr:to>
    <xdr:sp>
      <xdr:nvSpPr>
        <xdr:cNvPr id="1" name="AutoShape 99"/>
        <xdr:cNvSpPr>
          <a:spLocks/>
        </xdr:cNvSpPr>
      </xdr:nvSpPr>
      <xdr:spPr>
        <a:xfrm>
          <a:off x="4352925" y="4581525"/>
          <a:ext cx="11430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25</xdr:row>
      <xdr:rowOff>123825</xdr:rowOff>
    </xdr:from>
    <xdr:to>
      <xdr:col>6</xdr:col>
      <xdr:colOff>0</xdr:colOff>
      <xdr:row>36</xdr:row>
      <xdr:rowOff>104775</xdr:rowOff>
    </xdr:to>
    <xdr:sp>
      <xdr:nvSpPr>
        <xdr:cNvPr id="2" name="Rectangle 27"/>
        <xdr:cNvSpPr>
          <a:spLocks/>
        </xdr:cNvSpPr>
      </xdr:nvSpPr>
      <xdr:spPr>
        <a:xfrm>
          <a:off x="419100" y="4705350"/>
          <a:ext cx="6048375" cy="2705100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4</xdr:row>
      <xdr:rowOff>123825</xdr:rowOff>
    </xdr:from>
    <xdr:to>
      <xdr:col>6</xdr:col>
      <xdr:colOff>0</xdr:colOff>
      <xdr:row>24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419100" y="1028700"/>
          <a:ext cx="6048375" cy="3305175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4</xdr:row>
      <xdr:rowOff>0</xdr:rowOff>
    </xdr:from>
    <xdr:to>
      <xdr:col>5</xdr:col>
      <xdr:colOff>1143000</xdr:colOff>
      <xdr:row>5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4352925" y="904875"/>
          <a:ext cx="11430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4</xdr:row>
      <xdr:rowOff>0</xdr:rowOff>
    </xdr:from>
    <xdr:to>
      <xdr:col>5</xdr:col>
      <xdr:colOff>9525</xdr:colOff>
      <xdr:row>5</xdr:row>
      <xdr:rowOff>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0" y="904875"/>
          <a:ext cx="4362450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Dati in ingresso:</a:t>
          </a:r>
        </a:p>
      </xdr:txBody>
    </xdr:sp>
    <xdr:clientData/>
  </xdr:twoCellAnchor>
  <xdr:twoCellAnchor editAs="absolute">
    <xdr:from>
      <xdr:col>4</xdr:col>
      <xdr:colOff>2133600</xdr:colOff>
      <xdr:row>4</xdr:row>
      <xdr:rowOff>0</xdr:rowOff>
    </xdr:from>
    <xdr:to>
      <xdr:col>5</xdr:col>
      <xdr:colOff>666750</xdr:colOff>
      <xdr:row>5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4343400" y="904875"/>
          <a:ext cx="6762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twoCellAnchor>
  <xdr:twoCellAnchor editAs="absolute">
    <xdr:from>
      <xdr:col>6</xdr:col>
      <xdr:colOff>66675</xdr:colOff>
      <xdr:row>4</xdr:row>
      <xdr:rowOff>123825</xdr:rowOff>
    </xdr:from>
    <xdr:to>
      <xdr:col>11</xdr:col>
      <xdr:colOff>600075</xdr:colOff>
      <xdr:row>36</xdr:row>
      <xdr:rowOff>104775</xdr:rowOff>
    </xdr:to>
    <xdr:sp>
      <xdr:nvSpPr>
        <xdr:cNvPr id="7" name="Rectangle 18"/>
        <xdr:cNvSpPr>
          <a:spLocks/>
        </xdr:cNvSpPr>
      </xdr:nvSpPr>
      <xdr:spPr>
        <a:xfrm>
          <a:off x="6534150" y="1028700"/>
          <a:ext cx="3581400" cy="6381750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8" name="Rectangle 70"/>
        <xdr:cNvSpPr>
          <a:spLocks/>
        </xdr:cNvSpPr>
      </xdr:nvSpPr>
      <xdr:spPr>
        <a:xfrm>
          <a:off x="1019175" y="15906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9" name="Rectangle 71"/>
        <xdr:cNvSpPr>
          <a:spLocks/>
        </xdr:cNvSpPr>
      </xdr:nvSpPr>
      <xdr:spPr>
        <a:xfrm>
          <a:off x="1019175" y="15906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0" name="Rectangle 72"/>
        <xdr:cNvSpPr>
          <a:spLocks/>
        </xdr:cNvSpPr>
      </xdr:nvSpPr>
      <xdr:spPr>
        <a:xfrm>
          <a:off x="1019175" y="19335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1" name="Rectangle 73"/>
        <xdr:cNvSpPr>
          <a:spLocks/>
        </xdr:cNvSpPr>
      </xdr:nvSpPr>
      <xdr:spPr>
        <a:xfrm>
          <a:off x="1019175" y="22764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2" name="Rectangle 74"/>
        <xdr:cNvSpPr>
          <a:spLocks/>
        </xdr:cNvSpPr>
      </xdr:nvSpPr>
      <xdr:spPr>
        <a:xfrm>
          <a:off x="1019175" y="26193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3" name="Rectangle 75"/>
        <xdr:cNvSpPr>
          <a:spLocks/>
        </xdr:cNvSpPr>
      </xdr:nvSpPr>
      <xdr:spPr>
        <a:xfrm>
          <a:off x="1019175" y="29622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4" name="Rectangle 91"/>
        <xdr:cNvSpPr>
          <a:spLocks/>
        </xdr:cNvSpPr>
      </xdr:nvSpPr>
      <xdr:spPr>
        <a:xfrm>
          <a:off x="1019175" y="26193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5" name="Rectangle 92"/>
        <xdr:cNvSpPr>
          <a:spLocks/>
        </xdr:cNvSpPr>
      </xdr:nvSpPr>
      <xdr:spPr>
        <a:xfrm>
          <a:off x="1019175" y="29622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16" name="Text Box 96"/>
        <xdr:cNvSpPr txBox="1">
          <a:spLocks noChangeArrowheads="1"/>
        </xdr:cNvSpPr>
      </xdr:nvSpPr>
      <xdr:spPr>
        <a:xfrm>
          <a:off x="9525" y="4581525"/>
          <a:ext cx="4343400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Risultati:</a:t>
          </a:r>
        </a:p>
      </xdr:txBody>
    </xdr:sp>
    <xdr:clientData/>
  </xdr:twoCellAnchor>
  <xdr:twoCellAnchor editAs="absolute">
    <xdr:from>
      <xdr:col>4</xdr:col>
      <xdr:colOff>2133600</xdr:colOff>
      <xdr:row>25</xdr:row>
      <xdr:rowOff>0</xdr:rowOff>
    </xdr:from>
    <xdr:to>
      <xdr:col>5</xdr:col>
      <xdr:colOff>666750</xdr:colOff>
      <xdr:row>26</xdr:row>
      <xdr:rowOff>0</xdr:rowOff>
    </xdr:to>
    <xdr:sp>
      <xdr:nvSpPr>
        <xdr:cNvPr id="17" name="Text Box 98"/>
        <xdr:cNvSpPr txBox="1">
          <a:spLocks noChangeArrowheads="1"/>
        </xdr:cNvSpPr>
      </xdr:nvSpPr>
      <xdr:spPr>
        <a:xfrm>
          <a:off x="4343400" y="4581525"/>
          <a:ext cx="6762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twoCellAnchor>
  <xdr:twoCellAnchor editAs="absolute">
    <xdr:from>
      <xdr:col>6</xdr:col>
      <xdr:colOff>171450</xdr:colOff>
      <xdr:row>18</xdr:row>
      <xdr:rowOff>85725</xdr:rowOff>
    </xdr:from>
    <xdr:to>
      <xdr:col>11</xdr:col>
      <xdr:colOff>542925</xdr:colOff>
      <xdr:row>29</xdr:row>
      <xdr:rowOff>28575</xdr:rowOff>
    </xdr:to>
    <xdr:pic>
      <xdr:nvPicPr>
        <xdr:cNvPr id="18" name="Picture 139" descr="lanci diagon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390900"/>
          <a:ext cx="34194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228600</xdr:colOff>
      <xdr:row>29</xdr:row>
      <xdr:rowOff>171450</xdr:rowOff>
    </xdr:from>
    <xdr:to>
      <xdr:col>10</xdr:col>
      <xdr:colOff>561975</xdr:colOff>
      <xdr:row>35</xdr:row>
      <xdr:rowOff>123825</xdr:rowOff>
    </xdr:to>
    <xdr:pic>
      <xdr:nvPicPr>
        <xdr:cNvPr id="19" name="Picture 140" descr="lanci vertic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5743575"/>
          <a:ext cx="2162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190500</xdr:colOff>
      <xdr:row>1</xdr:row>
      <xdr:rowOff>28575</xdr:rowOff>
    </xdr:from>
    <xdr:to>
      <xdr:col>4</xdr:col>
      <xdr:colOff>1895475</xdr:colOff>
      <xdr:row>3</xdr:row>
      <xdr:rowOff>209550</xdr:rowOff>
    </xdr:to>
    <xdr:pic>
      <xdr:nvPicPr>
        <xdr:cNvPr id="20" name="Picture 142" descr="Rendering d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190500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144"/>
        <xdr:cNvSpPr>
          <a:spLocks/>
        </xdr:cNvSpPr>
      </xdr:nvSpPr>
      <xdr:spPr>
        <a:xfrm>
          <a:off x="1019175" y="12477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133350</xdr:colOff>
      <xdr:row>4</xdr:row>
      <xdr:rowOff>190500</xdr:rowOff>
    </xdr:from>
    <xdr:to>
      <xdr:col>11</xdr:col>
      <xdr:colOff>504825</xdr:colOff>
      <xdr:row>17</xdr:row>
      <xdr:rowOff>57150</xdr:rowOff>
    </xdr:to>
    <xdr:pic>
      <xdr:nvPicPr>
        <xdr:cNvPr id="22" name="Picture 147" descr="lanci orizzontali_ne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5375"/>
          <a:ext cx="34194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</xdr:row>
      <xdr:rowOff>104775</xdr:rowOff>
    </xdr:from>
    <xdr:to>
      <xdr:col>9</xdr:col>
      <xdr:colOff>200025</xdr:colOff>
      <xdr:row>4</xdr:row>
      <xdr:rowOff>28575</xdr:rowOff>
    </xdr:to>
    <xdr:pic>
      <xdr:nvPicPr>
        <xdr:cNvPr id="23" name="Immagine 30" descr="212_310_restyling_FS_0_1_esec_rg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266700"/>
          <a:ext cx="1847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3:AE70"/>
  <sheetViews>
    <sheetView showGridLines="0" showRowColHeaders="0" tabSelected="1" zoomScalePageLayoutView="0" workbookViewId="0" topLeftCell="A1">
      <selection activeCell="C9" sqref="C9"/>
    </sheetView>
  </sheetViews>
  <sheetFormatPr defaultColWidth="9.140625" defaultRowHeight="12.75"/>
  <cols>
    <col min="1" max="1" width="6.140625" style="3" customWidth="1"/>
    <col min="2" max="2" width="9.140625" style="3" customWidth="1"/>
    <col min="3" max="3" width="11.28125" style="3" customWidth="1"/>
    <col min="4" max="4" width="6.57421875" style="3" customWidth="1"/>
    <col min="5" max="5" width="32.140625" style="3" customWidth="1"/>
    <col min="6" max="6" width="31.7109375" style="3" customWidth="1"/>
    <col min="7" max="23" width="9.140625" style="3" customWidth="1"/>
    <col min="24" max="24" width="9.7109375" style="3" customWidth="1"/>
    <col min="25" max="25" width="17.7109375" style="3" customWidth="1"/>
    <col min="26" max="16384" width="9.140625" style="3" customWidth="1"/>
  </cols>
  <sheetData>
    <row r="1" ht="12.75"/>
    <row r="2" ht="19.5" customHeight="1"/>
    <row r="3" spans="2:12" ht="19.5" customHeight="1">
      <c r="B3" s="27" t="s">
        <v>87</v>
      </c>
      <c r="J3" s="31" t="s">
        <v>89</v>
      </c>
      <c r="K3" s="65" t="s">
        <v>92</v>
      </c>
      <c r="L3" s="63"/>
    </row>
    <row r="4" spans="10:11" ht="19.5" customHeight="1">
      <c r="J4" s="31" t="s">
        <v>30</v>
      </c>
      <c r="K4" s="64" t="s">
        <v>91</v>
      </c>
    </row>
    <row r="5" ht="19.5" customHeight="1"/>
    <row r="6" ht="7.5" customHeight="1"/>
    <row r="7" spans="2:6" ht="19.5" customHeight="1">
      <c r="B7" s="4" t="s">
        <v>41</v>
      </c>
      <c r="E7" s="5" t="s">
        <v>48</v>
      </c>
      <c r="F7" s="6" t="str">
        <f>IF(G39=G40,"Selezionare numero di feritoie",LOOKUP(G39,G41:G46,I41:I46))</f>
        <v>Selezionare numero di feritoie</v>
      </c>
    </row>
    <row r="8" ht="7.5" customHeight="1">
      <c r="B8" s="4"/>
    </row>
    <row r="9" spans="2:6" ht="19.5" customHeight="1">
      <c r="B9" s="7" t="s">
        <v>45</v>
      </c>
      <c r="C9" s="56"/>
      <c r="D9" s="5" t="s">
        <v>46</v>
      </c>
      <c r="E9" s="6" t="s">
        <v>47</v>
      </c>
      <c r="F9" s="6" t="str">
        <f>IF(C9="","Selezionare la lunghezza","")</f>
        <v>Selezionare la lunghezza</v>
      </c>
    </row>
    <row r="10" ht="7.5" customHeight="1"/>
    <row r="11" spans="2:14" ht="19.5" customHeight="1">
      <c r="B11" s="7" t="s">
        <v>3</v>
      </c>
      <c r="C11" s="39"/>
      <c r="D11" s="5" t="s">
        <v>4</v>
      </c>
      <c r="E11" s="5" t="s">
        <v>5</v>
      </c>
      <c r="F11" s="34" t="str">
        <f>IF(C11="","Selezionare la portata","")</f>
        <v>Selezionare la portata</v>
      </c>
      <c r="N11" s="57"/>
    </row>
    <row r="12" ht="7.5" customHeight="1"/>
    <row r="13" spans="2:8" ht="19.5" customHeight="1">
      <c r="B13" s="8" t="s">
        <v>6</v>
      </c>
      <c r="D13" s="5" t="s">
        <v>7</v>
      </c>
      <c r="E13" s="5" t="s">
        <v>8</v>
      </c>
      <c r="F13" s="9" t="str">
        <f>IF(X41&lt;4,IF(Q41&gt;1,"Consentito solo riscaldamento!",LOOKUP(X41,X42:X46,Z42:Z46)),LOOKUP(X41,X42:X46,Z42:Z46))</f>
        <v>Diffusione isoterma</v>
      </c>
      <c r="H13" s="6"/>
    </row>
    <row r="14" spans="2:5" ht="7.5" customHeight="1">
      <c r="B14" s="8"/>
      <c r="C14" s="10"/>
      <c r="D14" s="5"/>
      <c r="E14" s="5"/>
    </row>
    <row r="15" spans="2:9" ht="19.5" customHeight="1">
      <c r="B15" s="7" t="s">
        <v>15</v>
      </c>
      <c r="C15" s="11">
        <f>2.4+H50/10</f>
        <v>3</v>
      </c>
      <c r="D15" s="5" t="s">
        <v>16</v>
      </c>
      <c r="E15" s="5" t="s">
        <v>17</v>
      </c>
      <c r="I15" s="35"/>
    </row>
    <row r="16" spans="2:5" ht="7.5" customHeight="1">
      <c r="B16" s="7"/>
      <c r="C16" s="11"/>
      <c r="D16" s="5"/>
      <c r="E16" s="5"/>
    </row>
    <row r="17" spans="2:5" ht="19.5" customHeight="1">
      <c r="B17" s="7" t="s">
        <v>18</v>
      </c>
      <c r="C17" s="11">
        <f>0.4+H51/10</f>
        <v>4</v>
      </c>
      <c r="D17" s="5" t="s">
        <v>16</v>
      </c>
      <c r="E17" s="5" t="s">
        <v>88</v>
      </c>
    </row>
    <row r="18" spans="2:5" ht="7.5" customHeight="1">
      <c r="B18" s="8"/>
      <c r="C18" s="10"/>
      <c r="D18" s="5"/>
      <c r="E18" s="5"/>
    </row>
    <row r="19" spans="2:5" ht="19.5" customHeight="1">
      <c r="B19" s="8"/>
      <c r="C19" s="10"/>
      <c r="D19" s="5"/>
      <c r="E19" s="5"/>
    </row>
    <row r="20" spans="2:5" ht="7.5" customHeight="1">
      <c r="B20" s="8"/>
      <c r="C20" s="10"/>
      <c r="D20" s="5"/>
      <c r="E20" s="5"/>
    </row>
    <row r="21" ht="19.5" customHeight="1">
      <c r="F21" s="6"/>
    </row>
    <row r="22" ht="7.5" customHeight="1">
      <c r="F22" s="6"/>
    </row>
    <row r="23" ht="19.5" customHeight="1">
      <c r="F23" s="6"/>
    </row>
    <row r="24" ht="7.5" customHeight="1"/>
    <row r="25" ht="19.5" customHeight="1"/>
    <row r="26" ht="19.5" customHeight="1"/>
    <row r="27" spans="2:5" ht="19.5" customHeight="1">
      <c r="B27" s="12" t="s">
        <v>0</v>
      </c>
      <c r="C27" s="13">
        <f>IF(C9="","",IF(C11="","",IF(G39=G40,"",C9/1000*LOOKUP(G39,G41:G46,M41:M46))))</f>
      </c>
      <c r="D27" s="9" t="s">
        <v>1</v>
      </c>
      <c r="E27" s="9" t="s">
        <v>2</v>
      </c>
    </row>
    <row r="28" spans="2:5" ht="19.5" customHeight="1">
      <c r="B28" s="1" t="s">
        <v>24</v>
      </c>
      <c r="C28" s="28">
        <f>IF(C27="","",IF(G39=G40,"",C11/C27/3600))</f>
      </c>
      <c r="D28" s="2" t="s">
        <v>25</v>
      </c>
      <c r="E28" s="2" t="s">
        <v>26</v>
      </c>
    </row>
    <row r="29" spans="2:5" ht="19.5" customHeight="1">
      <c r="B29" s="29" t="s">
        <v>27</v>
      </c>
      <c r="C29" s="30">
        <f>IF(C9="","",IF(G39=G40,"",IF(C27="","",H54*H53*(C11/(H52*C27*3600))^2)))</f>
      </c>
      <c r="D29" s="2" t="s">
        <v>28</v>
      </c>
      <c r="E29" s="2" t="s">
        <v>29</v>
      </c>
    </row>
    <row r="30" spans="2:6" ht="19.5" customHeight="1">
      <c r="B30" s="1" t="s">
        <v>33</v>
      </c>
      <c r="C30" s="30">
        <f>IF(C11=0,"",IF(C27="","",IF(G39=G40,"",IF((H56+H57*LOG((C11*1000/C9)/3600)-H58*LOG(C27*1000/C9)+H55)&lt;15,"&lt;15",H56+H57*LOG((C11*1000/C9)/3600)-H58*LOG(C27*1000/C9)+H55))))</f>
      </c>
      <c r="D30" s="2"/>
      <c r="E30" s="2" t="s">
        <v>34</v>
      </c>
      <c r="F30" s="33">
        <f>IF(C30="","",IF(C30="&lt;15","&lt;15",IF(C30&gt;=40.5,"&gt;40!","")))</f>
      </c>
    </row>
    <row r="31" spans="2:5" ht="19.5" customHeight="1">
      <c r="B31" s="1" t="str">
        <f>IF(X49=X50,"L","x")</f>
        <v>L</v>
      </c>
      <c r="C31" s="28">
        <f>IF(Q41=Q43,"",IF(Q41=Q44,"",IF(C11="","",IF(C9="","",IF(G39=G40,"",IF(X49=X50,H59*(C11/(H52*C27*3600)),H69))))))</f>
      </c>
      <c r="D31" s="2" t="s">
        <v>16</v>
      </c>
      <c r="E31" s="2" t="str">
        <f>IF(X49=X50,"lancio con vm = 0,2 m/s","componente orizzontale di lancio")</f>
        <v>lancio con vm = 0,2 m/s</v>
      </c>
    </row>
    <row r="32" spans="2:5" ht="19.5" customHeight="1">
      <c r="B32" s="1" t="s">
        <v>35</v>
      </c>
      <c r="C32" s="28">
        <f>IF(G39=G40,"",IF(C9="","",IF(C31="","",IF(X49=X50,IF(((C31-C17/2)*H60)&lt;0,0,(C31-C17/2)*H60),H70))))</f>
      </c>
      <c r="D32" s="2" t="s">
        <v>16</v>
      </c>
      <c r="E32" s="2" t="s">
        <v>36</v>
      </c>
    </row>
    <row r="33" spans="2:6" ht="19.5" customHeight="1">
      <c r="B33" s="1" t="s">
        <v>37</v>
      </c>
      <c r="C33" s="32">
        <f>IF(C32="","",IF(G39=G40,"",IF(C11="","",IF(C11=0,"",IF(C32=0,"!!!",0.2*(C17/2+C32)/(C17/2+C15-1.8))))))</f>
      </c>
      <c r="D33" s="2" t="s">
        <v>25</v>
      </c>
      <c r="E33" s="2" t="s">
        <v>38</v>
      </c>
      <c r="F33" s="33">
        <f>IF(C33="","",IF(C11=0,"",IF(C32=0,CONCATENATE("&lt;",ROUND(H63,2)),IF(C33&gt;0.21,"&gt;0,2!",""))))</f>
      </c>
    </row>
    <row r="34" spans="2:6" ht="19.5" customHeight="1">
      <c r="B34" s="1" t="s">
        <v>39</v>
      </c>
      <c r="C34" s="37">
        <f>IF(Q41=Q42,"",IF(C9="","",IF(G39=G40,"",IF(C11="","",IF(H61="","",IF((H61*H62*H64*C11/(H52*C27*3600))&gt;C15,"!!!",H61*H62*H64*C11/(H52*C27*3600)))))))</f>
      </c>
      <c r="D34" s="2" t="s">
        <v>16</v>
      </c>
      <c r="E34" s="2" t="s">
        <v>40</v>
      </c>
      <c r="F34" s="38">
        <f>IF(C34="","",IF(C34="!!!","&gt;H!",IF(C34&gt;H65,"&gt;H-1,8!","")))</f>
      </c>
    </row>
    <row r="35" spans="2:6" ht="19.5" customHeight="1">
      <c r="B35" s="40" t="s">
        <v>43</v>
      </c>
      <c r="C35" s="42">
        <f>IF(C11=0,"",IF(C9="","",IF(G39=G40,"",IF(Q41=Q44,"",IF(Q41=Q43,"",IF(X49=X51,"",IF(C32="","",IF(C32=0,(K50*C27+K51)*C31^K49,(K50*C27+K51)*(C17/2+C32)^K49))))))))</f>
      </c>
      <c r="D35" s="2"/>
      <c r="E35" s="2" t="s">
        <v>82</v>
      </c>
      <c r="F35" s="41">
        <f>IF($C$35="","",IF(C11=0,"",IF($T$52=$T$54,"","Valutato alla distanza L")))</f>
      </c>
    </row>
    <row r="36" spans="2:6" ht="19.5" customHeight="1">
      <c r="B36" s="1" t="s">
        <v>44</v>
      </c>
      <c r="C36" s="43">
        <f>IF(C11=0,"",IF(C11="","",IF(C9="","",IF(G39=G40,"",IF(Q41=Q44,"",IF(Q41=Q43,"",IF(X49=X51,"",IF(C32=0,(K53*C27+K54)*C31^K52,(K53*C27+K54)*(C17/2+C32)^K52))))))))</f>
      </c>
      <c r="D36" s="2"/>
      <c r="E36" s="2" t="s">
        <v>90</v>
      </c>
      <c r="F36" s="41">
        <f>IF($C$35="","",IF(C11=0,"",IF($T$52=$T$54,"","Valutato alla distanza L")))</f>
      </c>
    </row>
    <row r="37" ht="19.5" customHeight="1"/>
    <row r="38" spans="3:5" ht="13.5" hidden="1" thickBot="1">
      <c r="C38" s="54"/>
      <c r="E38" s="54"/>
    </row>
    <row r="39" spans="3:12" ht="13.5" hidden="1" thickBot="1">
      <c r="C39" s="35"/>
      <c r="E39" s="54"/>
      <c r="G39" s="15">
        <v>1</v>
      </c>
      <c r="H39" s="4" t="s">
        <v>41</v>
      </c>
      <c r="J39" s="59" t="s">
        <v>0</v>
      </c>
      <c r="K39" s="59"/>
      <c r="L39" s="59"/>
    </row>
    <row r="40" spans="7:26" ht="13.5" hidden="1" thickBot="1">
      <c r="G40" s="3">
        <v>1</v>
      </c>
      <c r="J40" s="44" t="s">
        <v>55</v>
      </c>
      <c r="K40" s="44" t="s">
        <v>56</v>
      </c>
      <c r="L40" s="44" t="s">
        <v>57</v>
      </c>
      <c r="M40" s="25" t="s">
        <v>0</v>
      </c>
      <c r="N40" s="44" t="s">
        <v>68</v>
      </c>
      <c r="O40" s="49" t="s">
        <v>74</v>
      </c>
      <c r="Q40" s="3" t="s">
        <v>42</v>
      </c>
      <c r="Y40" s="60" t="s">
        <v>9</v>
      </c>
      <c r="Z40" s="60"/>
    </row>
    <row r="41" spans="7:31" ht="13.5" hidden="1" thickBot="1">
      <c r="G41" s="3">
        <v>2</v>
      </c>
      <c r="H41" s="3">
        <v>1</v>
      </c>
      <c r="I41" s="3" t="s">
        <v>49</v>
      </c>
      <c r="J41" s="45">
        <v>0.009721947</v>
      </c>
      <c r="K41" s="45">
        <v>0.012818216</v>
      </c>
      <c r="L41" s="46">
        <v>0.02</v>
      </c>
      <c r="M41" s="47">
        <f aca="true" t="shared" si="0" ref="M41:M46">IF($Q$41=$Q$42,$K41,IF($Q$41=$Q$43,$J41,$L41))</f>
        <v>0.012818216</v>
      </c>
      <c r="N41" s="46">
        <v>1.8</v>
      </c>
      <c r="O41" s="46">
        <v>1</v>
      </c>
      <c r="Q41" s="24">
        <v>1</v>
      </c>
      <c r="S41" s="44" t="s">
        <v>31</v>
      </c>
      <c r="T41" s="44" t="s">
        <v>32</v>
      </c>
      <c r="U41" s="44" t="s">
        <v>61</v>
      </c>
      <c r="V41" s="44" t="s">
        <v>62</v>
      </c>
      <c r="X41" s="15">
        <v>3</v>
      </c>
      <c r="Y41" s="16" t="s">
        <v>6</v>
      </c>
      <c r="Z41" s="17"/>
      <c r="AA41" s="49" t="s">
        <v>69</v>
      </c>
      <c r="AB41" s="55" t="s">
        <v>71</v>
      </c>
      <c r="AC41" s="25" t="s">
        <v>83</v>
      </c>
      <c r="AD41" s="25" t="s">
        <v>84</v>
      </c>
      <c r="AE41" s="25" t="s">
        <v>85</v>
      </c>
    </row>
    <row r="42" spans="5:31" ht="12.75" hidden="1">
      <c r="E42" s="35"/>
      <c r="G42" s="3">
        <v>3</v>
      </c>
      <c r="H42" s="3">
        <v>2</v>
      </c>
      <c r="I42" s="3" t="s">
        <v>50</v>
      </c>
      <c r="J42" s="45">
        <v>0.019443894</v>
      </c>
      <c r="K42" s="45">
        <v>0.025636432</v>
      </c>
      <c r="L42" s="46">
        <v>0.04</v>
      </c>
      <c r="M42" s="47">
        <f t="shared" si="0"/>
        <v>0.025636432</v>
      </c>
      <c r="N42" s="46">
        <v>2.1</v>
      </c>
      <c r="O42" s="46">
        <v>1.1</v>
      </c>
      <c r="Q42" s="18">
        <v>1</v>
      </c>
      <c r="R42" s="44" t="s">
        <v>56</v>
      </c>
      <c r="S42" s="46">
        <v>1.56027957</v>
      </c>
      <c r="T42" s="46">
        <v>3.522415923</v>
      </c>
      <c r="U42" s="46">
        <v>1.9</v>
      </c>
      <c r="V42" s="46">
        <v>8</v>
      </c>
      <c r="X42" s="20">
        <v>1</v>
      </c>
      <c r="Y42" s="21">
        <v>-10</v>
      </c>
      <c r="Z42" s="22" t="s">
        <v>10</v>
      </c>
      <c r="AA42" s="50">
        <v>1.2</v>
      </c>
      <c r="AC42" s="19">
        <v>0.18856180831641264</v>
      </c>
      <c r="AD42" s="19">
        <v>1</v>
      </c>
      <c r="AE42" s="19">
        <v>0.85</v>
      </c>
    </row>
    <row r="43" spans="7:31" ht="12.75" hidden="1">
      <c r="G43" s="3">
        <v>4</v>
      </c>
      <c r="H43" s="3">
        <v>3</v>
      </c>
      <c r="I43" s="3" t="s">
        <v>51</v>
      </c>
      <c r="J43" s="45">
        <v>0.029165841</v>
      </c>
      <c r="K43" s="45">
        <v>0.038454648</v>
      </c>
      <c r="L43" s="46">
        <v>0.06</v>
      </c>
      <c r="M43" s="47">
        <f t="shared" si="0"/>
        <v>0.038454648</v>
      </c>
      <c r="N43" s="46">
        <v>2.5</v>
      </c>
      <c r="O43" s="46">
        <v>1.2</v>
      </c>
      <c r="Q43" s="19">
        <v>2</v>
      </c>
      <c r="R43" s="44" t="s">
        <v>55</v>
      </c>
      <c r="S43" s="46">
        <v>2.057201008</v>
      </c>
      <c r="T43" s="46">
        <v>11.22495725</v>
      </c>
      <c r="U43" s="46">
        <v>1.3</v>
      </c>
      <c r="V43" s="46">
        <v>3</v>
      </c>
      <c r="X43" s="17">
        <v>2</v>
      </c>
      <c r="Y43" s="21">
        <v>-5</v>
      </c>
      <c r="Z43" s="22" t="s">
        <v>10</v>
      </c>
      <c r="AA43" s="50">
        <v>1.1</v>
      </c>
      <c r="AC43" s="19">
        <v>0.06850861547828142</v>
      </c>
      <c r="AD43" s="19">
        <v>1</v>
      </c>
      <c r="AE43" s="19">
        <v>0.9</v>
      </c>
    </row>
    <row r="44" spans="7:31" ht="12.75" hidden="1">
      <c r="G44" s="3">
        <v>5</v>
      </c>
      <c r="H44" s="3">
        <v>4</v>
      </c>
      <c r="I44" s="3" t="s">
        <v>52</v>
      </c>
      <c r="J44" s="45">
        <v>0.038887788</v>
      </c>
      <c r="K44" s="45">
        <v>0.051272864</v>
      </c>
      <c r="L44" s="46">
        <v>0.08</v>
      </c>
      <c r="M44" s="47">
        <f t="shared" si="0"/>
        <v>0.051272864</v>
      </c>
      <c r="N44" s="46">
        <v>2.8</v>
      </c>
      <c r="O44" s="46">
        <v>1.3</v>
      </c>
      <c r="Q44" s="19">
        <v>3</v>
      </c>
      <c r="R44" s="44" t="s">
        <v>57</v>
      </c>
      <c r="S44" s="46">
        <v>1</v>
      </c>
      <c r="T44" s="46">
        <v>0.727026874</v>
      </c>
      <c r="U44" s="46">
        <v>5.9</v>
      </c>
      <c r="V44" s="46">
        <v>21</v>
      </c>
      <c r="X44" s="17">
        <v>3</v>
      </c>
      <c r="Y44" s="21">
        <v>0</v>
      </c>
      <c r="Z44" s="22" t="s">
        <v>11</v>
      </c>
      <c r="AA44" s="50">
        <v>1</v>
      </c>
      <c r="AC44" s="19">
        <v>0</v>
      </c>
      <c r="AD44" s="19">
        <v>1</v>
      </c>
      <c r="AE44" s="19">
        <v>1</v>
      </c>
    </row>
    <row r="45" spans="7:31" ht="12.75" hidden="1">
      <c r="G45" s="3">
        <v>6</v>
      </c>
      <c r="H45" s="3">
        <v>5</v>
      </c>
      <c r="I45" s="3" t="s">
        <v>53</v>
      </c>
      <c r="J45" s="45">
        <v>0.048609735</v>
      </c>
      <c r="K45" s="45">
        <v>0.06409108</v>
      </c>
      <c r="L45" s="46">
        <v>0.1</v>
      </c>
      <c r="M45" s="47">
        <f t="shared" si="0"/>
        <v>0.06409108</v>
      </c>
      <c r="N45" s="46">
        <v>3.2</v>
      </c>
      <c r="O45" s="46">
        <v>1.4</v>
      </c>
      <c r="X45" s="17">
        <v>4</v>
      </c>
      <c r="Y45" s="21" t="s">
        <v>12</v>
      </c>
      <c r="Z45" s="22" t="s">
        <v>13</v>
      </c>
      <c r="AA45" s="50">
        <v>0.85</v>
      </c>
      <c r="AB45" s="48">
        <v>1.5</v>
      </c>
      <c r="AC45" s="19">
        <v>-0.06850861547828142</v>
      </c>
      <c r="AD45" s="19">
        <v>1</v>
      </c>
      <c r="AE45" s="19">
        <v>1.1</v>
      </c>
    </row>
    <row r="46" spans="7:31" ht="12.75" hidden="1">
      <c r="G46" s="3">
        <v>7</v>
      </c>
      <c r="H46" s="3">
        <v>6</v>
      </c>
      <c r="I46" s="3" t="s">
        <v>54</v>
      </c>
      <c r="J46" s="45">
        <v>0.058331682</v>
      </c>
      <c r="K46" s="45">
        <v>0.076909296</v>
      </c>
      <c r="L46" s="46">
        <v>0.12</v>
      </c>
      <c r="M46" s="47">
        <f t="shared" si="0"/>
        <v>0.076909296</v>
      </c>
      <c r="N46" s="46">
        <v>3.5</v>
      </c>
      <c r="O46" s="46">
        <v>1.5</v>
      </c>
      <c r="X46" s="17">
        <v>5</v>
      </c>
      <c r="Y46" s="21" t="s">
        <v>14</v>
      </c>
      <c r="Z46" s="22" t="s">
        <v>13</v>
      </c>
      <c r="AA46" s="50">
        <v>0.7</v>
      </c>
      <c r="AB46" s="48">
        <v>1</v>
      </c>
      <c r="AC46" s="19">
        <v>-0.13827865943203596</v>
      </c>
      <c r="AD46" s="19">
        <v>1</v>
      </c>
      <c r="AE46" s="19">
        <v>1.2</v>
      </c>
    </row>
    <row r="47" ht="12.75" hidden="1"/>
    <row r="48" spans="7:26" ht="13.5" hidden="1" thickBot="1">
      <c r="G48" s="62" t="s">
        <v>19</v>
      </c>
      <c r="H48" s="62"/>
      <c r="J48" s="61" t="s">
        <v>75</v>
      </c>
      <c r="K48" s="61"/>
      <c r="X48" s="23" t="s">
        <v>20</v>
      </c>
      <c r="Y48" s="14"/>
      <c r="Z48" s="14"/>
    </row>
    <row r="49" spans="10:25" ht="13.5" hidden="1" thickBot="1">
      <c r="J49" s="4" t="s">
        <v>76</v>
      </c>
      <c r="K49" s="3">
        <v>-0.491025</v>
      </c>
      <c r="X49" s="24">
        <v>1</v>
      </c>
      <c r="Y49" s="3" t="s">
        <v>21</v>
      </c>
    </row>
    <row r="50" spans="7:26" ht="12.75" hidden="1">
      <c r="G50" s="26" t="s">
        <v>15</v>
      </c>
      <c r="H50" s="17">
        <v>6</v>
      </c>
      <c r="J50" s="4" t="s">
        <v>77</v>
      </c>
      <c r="K50" s="3">
        <v>3.108</v>
      </c>
      <c r="X50" s="17">
        <v>1</v>
      </c>
      <c r="Y50" s="19">
        <v>1</v>
      </c>
      <c r="Z50" s="22" t="s">
        <v>22</v>
      </c>
    </row>
    <row r="51" spans="7:26" ht="12.75" hidden="1">
      <c r="G51" s="26" t="s">
        <v>18</v>
      </c>
      <c r="H51" s="17">
        <v>36</v>
      </c>
      <c r="J51" s="4" t="s">
        <v>78</v>
      </c>
      <c r="K51" s="3">
        <v>0.1787</v>
      </c>
      <c r="X51" s="17">
        <v>2</v>
      </c>
      <c r="Y51" s="19">
        <v>0.7</v>
      </c>
      <c r="Z51" s="22" t="s">
        <v>23</v>
      </c>
    </row>
    <row r="52" spans="7:11" ht="12.75" hidden="1">
      <c r="G52" s="44" t="s">
        <v>31</v>
      </c>
      <c r="H52" s="19">
        <f>LOOKUP($Q$41,$Q$42:$Q$44,S42:S44)</f>
        <v>1.56027957</v>
      </c>
      <c r="J52" s="4" t="s">
        <v>79</v>
      </c>
      <c r="K52" s="3">
        <v>0.5</v>
      </c>
    </row>
    <row r="53" spans="7:23" ht="13.5" hidden="1" thickBot="1">
      <c r="G53" s="44" t="s">
        <v>32</v>
      </c>
      <c r="H53" s="19">
        <f>LOOKUP($Q$41,$Q$42:$Q$44,T42:T44)</f>
        <v>3.522415923</v>
      </c>
      <c r="J53" s="4" t="s">
        <v>80</v>
      </c>
      <c r="K53" s="3">
        <v>234.04</v>
      </c>
      <c r="N53" s="36" t="s">
        <v>58</v>
      </c>
      <c r="R53" s="58" t="s">
        <v>55</v>
      </c>
      <c r="S53" s="58"/>
      <c r="T53" s="58" t="s">
        <v>56</v>
      </c>
      <c r="U53" s="58"/>
      <c r="V53" s="58" t="s">
        <v>57</v>
      </c>
      <c r="W53" s="58"/>
    </row>
    <row r="54" spans="7:23" ht="13.5" hidden="1" thickBot="1">
      <c r="G54" s="25" t="s">
        <v>63</v>
      </c>
      <c r="H54" s="19">
        <f>IF($N$54=$N$55,P55,P56)</f>
        <v>1</v>
      </c>
      <c r="J54" s="4" t="s">
        <v>81</v>
      </c>
      <c r="K54" s="3">
        <v>7</v>
      </c>
      <c r="N54" s="24">
        <v>1</v>
      </c>
      <c r="P54" s="25" t="s">
        <v>63</v>
      </c>
      <c r="Q54" s="25" t="s">
        <v>64</v>
      </c>
      <c r="R54" s="25" t="s">
        <v>63</v>
      </c>
      <c r="S54" s="25" t="s">
        <v>64</v>
      </c>
      <c r="T54" s="25" t="s">
        <v>63</v>
      </c>
      <c r="U54" s="25" t="s">
        <v>64</v>
      </c>
      <c r="V54" s="25" t="s">
        <v>63</v>
      </c>
      <c r="W54" s="25" t="s">
        <v>64</v>
      </c>
    </row>
    <row r="55" spans="7:23" ht="12.75" hidden="1">
      <c r="G55" s="25" t="s">
        <v>64</v>
      </c>
      <c r="H55" s="19">
        <f>IF($N$54=$N$55,Q55,Q56)</f>
        <v>0</v>
      </c>
      <c r="N55" s="18">
        <v>1</v>
      </c>
      <c r="O55" s="48" t="s">
        <v>59</v>
      </c>
      <c r="P55" s="19">
        <f>IF($Q$41=$Q$43,R55,IF($Q$41=$Q$42,T55,V55))</f>
        <v>1</v>
      </c>
      <c r="Q55" s="19">
        <f>IF($Q$41=$Q$43,S55,IF($Q$41=$Q$42,U55,W55))</f>
        <v>0</v>
      </c>
      <c r="R55" s="19">
        <v>1</v>
      </c>
      <c r="S55" s="19">
        <v>0</v>
      </c>
      <c r="T55" s="19">
        <v>1</v>
      </c>
      <c r="U55" s="19">
        <v>0</v>
      </c>
      <c r="V55" s="19">
        <v>1</v>
      </c>
      <c r="W55" s="19">
        <v>0</v>
      </c>
    </row>
    <row r="56" spans="7:23" ht="12.75" hidden="1">
      <c r="G56" s="44" t="s">
        <v>65</v>
      </c>
      <c r="H56" s="19">
        <f>IF($Q$41=$Q$42,T59,IF($Q$41=$Q$43,S59,U59))</f>
        <v>15</v>
      </c>
      <c r="N56" s="19">
        <v>2</v>
      </c>
      <c r="O56" s="48" t="s">
        <v>60</v>
      </c>
      <c r="P56" s="19">
        <f>IF($Q$41=$Q$43,R56,IF($Q$41=$Q$42,T56,V56))</f>
        <v>1.9</v>
      </c>
      <c r="Q56" s="19">
        <f>IF($Q$41=$Q$43,S56,IF($Q$41=$Q$42,U56,W56))</f>
        <v>8</v>
      </c>
      <c r="R56" s="19">
        <v>1.3</v>
      </c>
      <c r="S56" s="19">
        <v>3</v>
      </c>
      <c r="T56" s="19">
        <v>1.9</v>
      </c>
      <c r="U56" s="19">
        <v>8</v>
      </c>
      <c r="V56" s="19">
        <v>5.9</v>
      </c>
      <c r="W56" s="19">
        <v>21</v>
      </c>
    </row>
    <row r="57" spans="7:8" ht="12.75" hidden="1">
      <c r="G57" s="44" t="s">
        <v>66</v>
      </c>
      <c r="H57" s="19">
        <v>68</v>
      </c>
    </row>
    <row r="58" spans="7:21" ht="12.75" hidden="1">
      <c r="G58" s="44" t="s">
        <v>67</v>
      </c>
      <c r="H58" s="19">
        <v>55.5</v>
      </c>
      <c r="R58" s="44"/>
      <c r="S58" s="44" t="s">
        <v>55</v>
      </c>
      <c r="T58" s="44" t="s">
        <v>56</v>
      </c>
      <c r="U58" s="44" t="s">
        <v>57</v>
      </c>
    </row>
    <row r="59" spans="7:21" ht="12.75" hidden="1">
      <c r="G59" s="44" t="s">
        <v>68</v>
      </c>
      <c r="H59" s="19">
        <f>IF(G39=G40,0,LOOKUP(G39,G41:G46,N41:N46))</f>
        <v>0</v>
      </c>
      <c r="R59" s="44" t="s">
        <v>65</v>
      </c>
      <c r="S59" s="46">
        <v>20</v>
      </c>
      <c r="T59" s="46">
        <v>15</v>
      </c>
      <c r="U59" s="46">
        <v>10</v>
      </c>
    </row>
    <row r="60" spans="7:21" ht="12.75" hidden="1">
      <c r="G60" s="49" t="s">
        <v>69</v>
      </c>
      <c r="H60" s="19">
        <f>LOOKUP(X41,X42:X46,AA42:AA46)</f>
        <v>1</v>
      </c>
      <c r="R60" s="44" t="s">
        <v>66</v>
      </c>
      <c r="S60" s="46">
        <v>68</v>
      </c>
      <c r="T60" s="46">
        <v>68</v>
      </c>
      <c r="U60" s="46">
        <v>68</v>
      </c>
    </row>
    <row r="61" spans="7:21" ht="12.75" hidden="1">
      <c r="G61" s="49" t="s">
        <v>71</v>
      </c>
      <c r="H61" s="19">
        <f>IF(X41=X45,AB45,IF(X41=X46,AB46,""))</f>
      </c>
      <c r="R61" s="44" t="s">
        <v>67</v>
      </c>
      <c r="S61" s="46">
        <v>55.5</v>
      </c>
      <c r="T61" s="46">
        <v>55.5</v>
      </c>
      <c r="U61" s="46">
        <v>55.5</v>
      </c>
    </row>
    <row r="62" spans="7:8" ht="12.75" hidden="1">
      <c r="G62" s="49" t="s">
        <v>74</v>
      </c>
      <c r="H62" s="19" t="e">
        <f>LOOKUP(G39,G41:G46,O41:O46)</f>
        <v>#N/A</v>
      </c>
    </row>
    <row r="63" spans="7:8" ht="12.75" hidden="1">
      <c r="G63" s="51" t="s">
        <v>70</v>
      </c>
      <c r="H63" s="52">
        <f>0.2*(C17/2)/(C17/2+C15-1.8)</f>
        <v>0.125</v>
      </c>
    </row>
    <row r="64" spans="7:8" ht="12.75" hidden="1">
      <c r="G64" s="25" t="s">
        <v>73</v>
      </c>
      <c r="H64" s="19">
        <v>0.8</v>
      </c>
    </row>
    <row r="65" spans="7:8" ht="12.75" hidden="1">
      <c r="G65" s="25" t="s">
        <v>72</v>
      </c>
      <c r="H65" s="53">
        <f>C15-1.8</f>
        <v>1.2</v>
      </c>
    </row>
    <row r="66" spans="7:8" ht="12.75" hidden="1">
      <c r="G66" s="25" t="s">
        <v>83</v>
      </c>
      <c r="H66" s="19">
        <f>LOOKUP($X$41,$X$42:$X$46,AC42:AC46)</f>
        <v>0</v>
      </c>
    </row>
    <row r="67" spans="7:8" ht="12.75" hidden="1">
      <c r="G67" s="25" t="s">
        <v>84</v>
      </c>
      <c r="H67" s="19">
        <v>1</v>
      </c>
    </row>
    <row r="68" spans="7:8" ht="12.75" hidden="1">
      <c r="G68" s="25" t="s">
        <v>85</v>
      </c>
      <c r="H68" s="19">
        <f>LOOKUP($X$41,$X$42:$X$46,AE42:AE46)</f>
        <v>1</v>
      </c>
    </row>
    <row r="69" spans="7:8" ht="12.75" hidden="1">
      <c r="G69" s="25" t="s">
        <v>86</v>
      </c>
      <c r="H69" s="19">
        <f>IF(Q41=Q43,"",IF(Q41=Q44,"",IF(C11="","",IF(C9="","",IF(G39=G40,"",0.7*H68*(SQRT(2)/2)*H59*(C11/(H52*C27*3600)))))))</f>
      </c>
    </row>
    <row r="70" spans="7:8" ht="12.75" hidden="1">
      <c r="G70" s="25" t="s">
        <v>35</v>
      </c>
      <c r="H70" s="19">
        <f>IF(H69="","",H66*H69^2+H67*H69)</f>
      </c>
    </row>
    <row r="71" ht="12.75" hidden="1"/>
  </sheetData>
  <sheetProtection password="F238" sheet="1" objects="1" scenarios="1" selectLockedCells="1"/>
  <mergeCells count="8">
    <mergeCell ref="V53:W53"/>
    <mergeCell ref="J39:L39"/>
    <mergeCell ref="Y40:Z40"/>
    <mergeCell ref="J48:K48"/>
    <mergeCell ref="G48:H48"/>
    <mergeCell ref="K3:L3"/>
    <mergeCell ref="R53:S53"/>
    <mergeCell ref="T53:U53"/>
  </mergeCells>
  <conditionalFormatting sqref="C30">
    <cfRule type="cellIs" priority="1" dxfId="0" operator="greaterThan" stopIfTrue="1">
      <formula>40</formula>
    </cfRule>
    <cfRule type="cellIs" priority="2" dxfId="3" operator="equal" stopIfTrue="1">
      <formula>"-"</formula>
    </cfRule>
  </conditionalFormatting>
  <conditionalFormatting sqref="F13">
    <cfRule type="cellIs" priority="3" dxfId="0" operator="equal" stopIfTrue="1">
      <formula>"Consentito solo riscaldamento!"</formula>
    </cfRule>
  </conditionalFormatting>
  <conditionalFormatting sqref="C34">
    <cfRule type="cellIs" priority="4" dxfId="0" operator="greaterThan" stopIfTrue="1">
      <formula>$H$65</formula>
    </cfRule>
  </conditionalFormatting>
  <conditionalFormatting sqref="C33">
    <cfRule type="cellIs" priority="5" dxfId="0" operator="greaterThanOrEqual" stopIfTrue="1">
      <formula>0.2</formula>
    </cfRule>
  </conditionalFormatting>
  <dataValidations count="3">
    <dataValidation type="whole" operator="greaterThanOrEqual" allowBlank="1" showInputMessage="1" showErrorMessage="1" errorTitle="Valori ammessi" error="La portata d'aria deve essere positiva" sqref="C11">
      <formula1>0</formula1>
    </dataValidation>
    <dataValidation type="whole" allowBlank="1" showInputMessage="1" showErrorMessage="1" errorTitle="Lunghezze ammesse" error="L minimo = 300 mm&#10;L massimo = 2000 mm" sqref="C9">
      <formula1>300</formula1>
      <formula2>2000</formula2>
    </dataValidation>
    <dataValidation allowBlank="1" showInputMessage="1" showErrorMessage="1" errorTitle="Posizione deflettori" error="Non va bene!" sqref="F13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Tecnoventi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DLF</dc:title>
  <dc:subject/>
  <dc:creator>Claudio ing. Sponchioni</dc:creator>
  <cp:keywords/>
  <dc:description/>
  <cp:lastModifiedBy>utente</cp:lastModifiedBy>
  <cp:lastPrinted>2007-11-07T13:08:37Z</cp:lastPrinted>
  <dcterms:created xsi:type="dcterms:W3CDTF">2007-09-21T07:39:03Z</dcterms:created>
  <dcterms:modified xsi:type="dcterms:W3CDTF">2014-12-22T09:48:17Z</dcterms:modified>
  <cp:category/>
  <cp:version/>
  <cp:contentType/>
  <cp:contentStatus/>
</cp:coreProperties>
</file>